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23" firstSheet="5" activeTab="9"/>
  </bookViews>
  <sheets>
    <sheet name="中华人民共和国土地增值税申报附表" sheetId="40" r:id="rId1"/>
    <sheet name="目录" sheetId="1" r:id="rId2"/>
    <sheet name="清算项目基本情况表" sheetId="29" r:id="rId3"/>
    <sheet name="土地增值税税源明细表" sheetId="5" r:id="rId4"/>
    <sheet name="附表1-面积统计表" sheetId="32" r:id="rId5"/>
    <sheet name="附表2-收入统计表" sheetId="8" r:id="rId6"/>
    <sheet name="附表3-扣除项目分摊表" sheetId="6" r:id="rId7"/>
    <sheet name="附表4-项目间分摊信息采集表" sheetId="38" r:id="rId8"/>
    <sheet name="附表5-扣除项目统计表" sheetId="30" r:id="rId9"/>
    <sheet name="附表6-收入明细采集底稿" sheetId="9" r:id="rId10"/>
    <sheet name="附表7-扣除项目明细采集底稿" sheetId="31" r:id="rId11"/>
    <sheet name="附表8-合同明细采集底稿" sheetId="37" r:id="rId12"/>
    <sheet name="工程造价采集表" sheetId="41" r:id="rId13"/>
    <sheet name="数据对照表" sheetId="39" r:id="rId14"/>
  </sheets>
  <definedNames>
    <definedName name="_xlnm._FilterDatabase" localSheetId="10" hidden="1">'附表7-扣除项目明细采集底稿'!$A$6:$ID$28</definedName>
    <definedName name="_21">'附表7-扣除项目明细采集底稿'!$X$6:$Y$6</definedName>
    <definedName name="_xlnm.Print_Area" localSheetId="4">'附表1-面积统计表'!$A$1:$K$35</definedName>
    <definedName name="_xlnm.Print_Area" localSheetId="5">'附表2-收入统计表'!$A$1:$F$13</definedName>
    <definedName name="_xlnm.Print_Area" localSheetId="6">'附表3-扣除项目分摊表'!$A$1:$N$27</definedName>
    <definedName name="_xlnm.Print_Area" localSheetId="8">'附表5-扣除项目统计表'!$1:$87</definedName>
    <definedName name="_xlnm.Print_Area" localSheetId="9">'附表6-收入明细采集底稿'!$A$1:$Z$40</definedName>
    <definedName name="_xlnm.Print_Area" localSheetId="10">'附表7-扣除项目明细采集底稿'!$A:$AB</definedName>
    <definedName name="_xlnm.Print_Area" localSheetId="2">清算项目基本情况表!$A$1:$AI$36</definedName>
    <definedName name="_xlnm.Print_Area" localSheetId="3">土地增值税税源明细表!$A$1:$L$48</definedName>
    <definedName name="_xlnm.Print_Titles" localSheetId="6">'附表3-扣除项目分摊表'!$3:$5</definedName>
    <definedName name="_xlnm.Print_Titles" localSheetId="7">'附表4-项目间分摊信息采集表'!$3:$4</definedName>
    <definedName name="_xlnm.Print_Titles" localSheetId="8">'附表5-扣除项目统计表'!$3:$5</definedName>
    <definedName name="_xlnm.Print_Titles" localSheetId="9">'附表6-收入明细采集底稿'!$3:$5</definedName>
    <definedName name="_xlnm.Print_Titles" localSheetId="10">'附表7-扣除项目明细采集底稿'!$3:$6</definedName>
    <definedName name="_xlnm.Print_Titles" localSheetId="3">土地增值税税源明细表!$10:$10</definedName>
    <definedName name="普通住宅分摊金额">'附表7-扣除项目明细采集底稿'!$X$3:$Y$3</definedName>
  </definedNames>
  <calcPr calcId="144525"/>
</workbook>
</file>

<file path=xl/sharedStrings.xml><?xml version="1.0" encoding="utf-8"?>
<sst xmlns="http://schemas.openxmlformats.org/spreadsheetml/2006/main" count="1101" uniqueCount="573">
  <si>
    <t>中华人民共和国土地增值税申报附表</t>
  </si>
  <si>
    <t>税款所属期间：</t>
  </si>
  <si>
    <t xml:space="preserve">      年    月    日 至       年    月    日</t>
  </si>
  <si>
    <t>纳税人识别号
（统一社会信用代码）：</t>
  </si>
  <si>
    <t>□□□□□□□□□□□□□□□□□□</t>
  </si>
  <si>
    <t>纳税人名称：</t>
  </si>
  <si>
    <t>金额单位：人民币元（列至角分）</t>
  </si>
  <si>
    <t>面积单位：平方米（列至小数点后两位）</t>
  </si>
  <si>
    <t>谨声明：本申报附表是根据国家税收法律法规及相关规定填报的，是真实的、可靠的、完整的。</t>
  </si>
  <si>
    <t>纳税人（签章）：</t>
  </si>
  <si>
    <t>年    月    日</t>
  </si>
  <si>
    <t>经办人：</t>
  </si>
  <si>
    <t>受理人：</t>
  </si>
  <si>
    <t>经办人身份证号：</t>
  </si>
  <si>
    <t>受理税务机关（章）：</t>
  </si>
  <si>
    <t>代理机构签章：</t>
  </si>
  <si>
    <t>受理日期：   年  月  日</t>
  </si>
  <si>
    <t>目      录</t>
  </si>
  <si>
    <t>表单编号</t>
  </si>
  <si>
    <t>表单名称</t>
  </si>
  <si>
    <t>是否填报</t>
  </si>
  <si>
    <t>T10000</t>
  </si>
  <si>
    <t>清算项目基本情况表</t>
  </si>
  <si>
    <t>√</t>
  </si>
  <si>
    <t>T20000</t>
  </si>
  <si>
    <t>土地增值税税源明细表</t>
  </si>
  <si>
    <t>T21000</t>
  </si>
  <si>
    <t>附表1-面积统计表</t>
  </si>
  <si>
    <t>T22000</t>
  </si>
  <si>
    <t>附表2-收入统计表</t>
  </si>
  <si>
    <t>T23000</t>
  </si>
  <si>
    <t>附表3-扣除项目分摊表</t>
  </si>
  <si>
    <t>T23100</t>
  </si>
  <si>
    <t>附表4-项目间分摊信息采集表</t>
  </si>
  <si>
    <t>T23200</t>
  </si>
  <si>
    <t>附表5-扣除项目统计表</t>
  </si>
  <si>
    <t>T22100</t>
  </si>
  <si>
    <t>附表6-收入明细采集底稿</t>
  </si>
  <si>
    <t>T23210</t>
  </si>
  <si>
    <t>附表7-扣除项目明细采集底稿</t>
  </si>
  <si>
    <t>T23220</t>
  </si>
  <si>
    <t>附表8-合同明细采集底稿</t>
  </si>
  <si>
    <t>T30000</t>
  </si>
  <si>
    <t>工程造价采集表</t>
  </si>
  <si>
    <t>（从事房地产开发的纳税人适用）</t>
  </si>
  <si>
    <t>纳税人识别号：</t>
  </si>
  <si>
    <t>*填表日期：</t>
  </si>
  <si>
    <t>金额单位:人民币元(列至角分)</t>
  </si>
  <si>
    <t>面积单位:平方米</t>
  </si>
  <si>
    <t>项目基本情况</t>
  </si>
  <si>
    <t>*项目名称</t>
  </si>
  <si>
    <t>*项目编码</t>
  </si>
  <si>
    <t>*是否属于分期开发项目</t>
  </si>
  <si>
    <t>*项目地址</t>
  </si>
  <si>
    <t>*总预算成本</t>
  </si>
  <si>
    <t>*项目所在地主管税务机关</t>
  </si>
  <si>
    <t>*项目所在地主管税务所（科/分局）</t>
  </si>
  <si>
    <t>*土地使用权出（转）让合同签订日期</t>
  </si>
  <si>
    <t>*开发土地总面积</t>
  </si>
  <si>
    <t>*开发建筑总面积</t>
  </si>
  <si>
    <t>*项目总地价款</t>
  </si>
  <si>
    <t>*容积率</t>
  </si>
  <si>
    <t>*绿地率</t>
  </si>
  <si>
    <t>项目开工日期</t>
  </si>
  <si>
    <t>整体竣工日期</t>
  </si>
  <si>
    <t>最后一个销（预）售证取得时间</t>
  </si>
  <si>
    <t>发改部门立项信息</t>
  </si>
  <si>
    <t>序号</t>
  </si>
  <si>
    <t>投资项目代码</t>
  </si>
  <si>
    <t>项目名称</t>
  </si>
  <si>
    <t>项目总投资</t>
  </si>
  <si>
    <t>建筑面积</t>
  </si>
  <si>
    <t>土地使用权信息</t>
  </si>
  <si>
    <t>不动产权证号</t>
  </si>
  <si>
    <t>不动产单元号</t>
  </si>
  <si>
    <t>权利类型</t>
  </si>
  <si>
    <t>权利性质</t>
  </si>
  <si>
    <t>用途</t>
  </si>
  <si>
    <t>面积</t>
  </si>
  <si>
    <t>使用期限</t>
  </si>
  <si>
    <t>发证日期</t>
  </si>
  <si>
    <t>建设用地规划许可信息</t>
  </si>
  <si>
    <t>建设用地规划许可证编号</t>
  </si>
  <si>
    <t>用地项目名称</t>
  </si>
  <si>
    <t>用地位置</t>
  </si>
  <si>
    <t>用地面积</t>
  </si>
  <si>
    <t>建设规模</t>
  </si>
  <si>
    <t>建设工程规划许可信息</t>
  </si>
  <si>
    <t>建设工程规划许可证编号</t>
  </si>
  <si>
    <t>建设项目名称</t>
  </si>
  <si>
    <t>建设位置</t>
  </si>
  <si>
    <t>*发证日期</t>
  </si>
  <si>
    <t>建筑工程施工许可信息</t>
  </si>
  <si>
    <t>建筑工程施工许可证编号</t>
  </si>
  <si>
    <t>工程名称</t>
  </si>
  <si>
    <t>建设地址</t>
  </si>
  <si>
    <t>合同价格</t>
  </si>
  <si>
    <t>施工单位名称</t>
  </si>
  <si>
    <t>合同开工日期</t>
  </si>
  <si>
    <t>合同竣工日期</t>
  </si>
  <si>
    <t>预售许可信息</t>
  </si>
  <si>
    <t>预售许可证编号</t>
  </si>
  <si>
    <t>预售款专用帐户网点、帐号</t>
  </si>
  <si>
    <t>预售房屋建筑面积</t>
  </si>
  <si>
    <t>预售套数</t>
  </si>
  <si>
    <t>住宅</t>
  </si>
  <si>
    <t>商业用房</t>
  </si>
  <si>
    <t>办公用房</t>
  </si>
  <si>
    <t>车位车库</t>
  </si>
  <si>
    <t>其他</t>
  </si>
  <si>
    <t>合计</t>
  </si>
  <si>
    <t xml:space="preserve">现售备案信息 </t>
  </si>
  <si>
    <t>现售备案证书编号</t>
  </si>
  <si>
    <t>现售房屋建筑面积</t>
  </si>
  <si>
    <t>建设工程竣工验收信息</t>
  </si>
  <si>
    <t>竣工的建筑工程施工许可证编号</t>
  </si>
  <si>
    <t>验收日期</t>
  </si>
  <si>
    <t>*备案日期</t>
  </si>
  <si>
    <t>竣工工程造价</t>
  </si>
  <si>
    <t>竣工面积</t>
  </si>
  <si>
    <t>纳税人识别号(统一社会信用代码):</t>
  </si>
  <si>
    <t xml:space="preserve">纳税人名称: </t>
  </si>
  <si>
    <t>项目编码</t>
  </si>
  <si>
    <t>项目地址</t>
  </si>
  <si>
    <t>分配方法</t>
  </si>
  <si>
    <t>二分法</t>
  </si>
  <si>
    <t>项目总可售面积</t>
  </si>
  <si>
    <t>自用和出租面积</t>
  </si>
  <si>
    <t>已售面积</t>
  </si>
  <si>
    <t>其中:普通住宅已售面积</t>
  </si>
  <si>
    <t>其中:非普通住宅已售面积</t>
  </si>
  <si>
    <t>其中:其他类型房地产已售面积</t>
  </si>
  <si>
    <t>清算后剩余可售面积</t>
  </si>
  <si>
    <t>其中:普通住宅剩余可售面积</t>
  </si>
  <si>
    <t>其中:非普通住宅剩余可售面积</t>
  </si>
  <si>
    <t>其中:其他类型房地产剩余可售面积</t>
  </si>
  <si>
    <t>项目</t>
  </si>
  <si>
    <t>行次</t>
  </si>
  <si>
    <t>普通住宅</t>
  </si>
  <si>
    <t>非普通住宅</t>
  </si>
  <si>
    <t>其他类型房产</t>
  </si>
  <si>
    <t>总额</t>
  </si>
  <si>
    <t>一、转让房地产收入总额</t>
  </si>
  <si>
    <t>1=2+3+4</t>
  </si>
  <si>
    <t>1.货币收入</t>
  </si>
  <si>
    <t>2.实物收入及其他收入</t>
  </si>
  <si>
    <t>3.视同销售收入</t>
  </si>
  <si>
    <t>二、扣除项目金额合计</t>
  </si>
  <si>
    <t>5=6+7+14+17+21+22</t>
  </si>
  <si>
    <t>1.取得土地使用权所支付的金额</t>
  </si>
  <si>
    <t>其中：不可加计扣除金额</t>
  </si>
  <si>
    <t>6-1</t>
  </si>
  <si>
    <t>2.房地产开发成本</t>
  </si>
  <si>
    <t>7=8+9+10+11+12+13</t>
  </si>
  <si>
    <t>其中：土地征用及拆迁补偿费</t>
  </si>
  <si>
    <t xml:space="preserve">      前期工程费</t>
  </si>
  <si>
    <t xml:space="preserve">      建筑安装工程费</t>
  </si>
  <si>
    <t xml:space="preserve">      基础设施费</t>
  </si>
  <si>
    <t xml:space="preserve">      公共配套设施费</t>
  </si>
  <si>
    <t xml:space="preserve">      开发间接费用</t>
  </si>
  <si>
    <t>7-1</t>
  </si>
  <si>
    <t>3.房地产开发费用</t>
  </si>
  <si>
    <t>14=15+16</t>
  </si>
  <si>
    <t>其中：利息支出</t>
  </si>
  <si>
    <t xml:space="preserve">      其他房地产开发费用</t>
  </si>
  <si>
    <t>4.与转让房地产有关的税金等</t>
  </si>
  <si>
    <t>17=18+19+20</t>
  </si>
  <si>
    <t>其中：营业税</t>
  </si>
  <si>
    <t xml:space="preserve">      城市维护建设税</t>
  </si>
  <si>
    <t xml:space="preserve">      教育费附加</t>
  </si>
  <si>
    <t>5.财政部规定的其他扣除项目</t>
  </si>
  <si>
    <t>6.代收费用</t>
  </si>
  <si>
    <t>三、增值额</t>
  </si>
  <si>
    <t>23=1-5</t>
  </si>
  <si>
    <t>四、增值额与扣除项目金额之比（%）</t>
  </si>
  <si>
    <t>24=23÷5</t>
  </si>
  <si>
    <t>五、适用税率（%）</t>
  </si>
  <si>
    <t>六、速算扣除系数（%）</t>
  </si>
  <si>
    <t>七、应缴土地增值税税额</t>
  </si>
  <si>
    <t>27=23*25-5*26</t>
  </si>
  <si>
    <t>八、减免税额</t>
  </si>
  <si>
    <t>28=30+32+34</t>
  </si>
  <si>
    <t>其中：减免税（1）</t>
  </si>
  <si>
    <t>减免性质代码和项目名称(1)</t>
  </si>
  <si>
    <t>减免税额(1)</t>
  </si>
  <si>
    <t xml:space="preserve">      减免税（2）</t>
  </si>
  <si>
    <t>减免性质代码和项目名称(2)</t>
  </si>
  <si>
    <t>减免税额(2)</t>
  </si>
  <si>
    <t xml:space="preserve">      减免税（3）</t>
  </si>
  <si>
    <t>减免性质代码和项目名称(3)</t>
  </si>
  <si>
    <t>减免税额(3)</t>
  </si>
  <si>
    <t>九、已缴土地增值税税额</t>
  </si>
  <si>
    <t>请填写</t>
  </si>
  <si>
    <t>十、应补（退）土地增值税税额</t>
  </si>
  <si>
    <t>36=27-28-35</t>
  </si>
  <si>
    <t xml:space="preserve">面积基本信息  </t>
  </si>
  <si>
    <t>房屋类型</t>
  </si>
  <si>
    <t>测绘总建筑面积</t>
  </si>
  <si>
    <t>不可销售建筑面积</t>
  </si>
  <si>
    <t>总可售建筑面积</t>
  </si>
  <si>
    <t>已售建筑面积</t>
  </si>
  <si>
    <t>剩余可售建筑面积</t>
  </si>
  <si>
    <t>自用建筑面积</t>
  </si>
  <si>
    <t>出租建筑面积</t>
  </si>
  <si>
    <t>说明</t>
  </si>
  <si>
    <t>1=2+3</t>
  </si>
  <si>
    <t>2</t>
  </si>
  <si>
    <t>3</t>
  </si>
  <si>
    <t>4</t>
  </si>
  <si>
    <t>5=3-4
5≥6+7</t>
  </si>
  <si>
    <t>6</t>
  </si>
  <si>
    <t>7</t>
  </si>
  <si>
    <t>8</t>
  </si>
  <si>
    <t>1</t>
  </si>
  <si>
    <t>5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</si>
  <si>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</si>
  <si>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</si>
  <si>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</si>
  <si>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</si>
  <si>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</si>
  <si>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</si>
  <si>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</si>
  <si>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</si>
  <si>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</si>
  <si>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</si>
  <si>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</si>
  <si>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</si>
  <si>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</si>
  <si>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</si>
  <si>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</si>
  <si>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</si>
  <si>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</si>
  <si>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面积比例信息</t>
  </si>
  <si>
    <t>可售面积</t>
  </si>
  <si>
    <t>销售比例</t>
  </si>
  <si>
    <t>自用比例</t>
  </si>
  <si>
    <t>出租比例</t>
  </si>
  <si>
    <t>销售、出租、自用比例</t>
  </si>
  <si>
    <t>11=10÷9</t>
  </si>
  <si>
    <t>26</t>
  </si>
  <si>
    <t>27</t>
  </si>
  <si>
    <t>28</t>
  </si>
  <si>
    <t>29</t>
  </si>
  <si>
    <t>清算类别</t>
  </si>
  <si>
    <t>货币收入</t>
  </si>
  <si>
    <t>实物收入及其他收入</t>
  </si>
  <si>
    <t>视同销售收入</t>
  </si>
  <si>
    <t>小计</t>
  </si>
  <si>
    <t>4=1+2+3</t>
  </si>
  <si>
    <t>科目名称</t>
  </si>
  <si>
    <t>总扣除金额</t>
  </si>
  <si>
    <t>本次扣除比例</t>
  </si>
  <si>
    <t>本次扣除金额</t>
  </si>
  <si>
    <t>分摊方法</t>
  </si>
  <si>
    <t>9=1*6</t>
  </si>
  <si>
    <t>10=2*7</t>
  </si>
  <si>
    <t>11=3*8</t>
  </si>
  <si>
    <t>12=9+10+11</t>
  </si>
  <si>
    <t>扣除项目金额合计</t>
  </si>
  <si>
    <t>1=2+4+12+15+21+22</t>
  </si>
  <si>
    <t>可售建筑面积法</t>
  </si>
  <si>
    <t>4=5+6+7+8+9+10</t>
  </si>
  <si>
    <t>12=13+14</t>
  </si>
  <si>
    <t>与加计扣除一致</t>
  </si>
  <si>
    <t>15=16+17+18+19+20</t>
  </si>
  <si>
    <t xml:space="preserve">      地方教育附加</t>
  </si>
  <si>
    <t xml:space="preserve">      其他税（费）</t>
  </si>
  <si>
    <t>21=[(2-3)+(4-11)]*20%</t>
  </si>
  <si>
    <t>*是否已办理项目报告</t>
  </si>
  <si>
    <t>开发土地总面积</t>
  </si>
  <si>
    <t>其他分摊方法数额</t>
  </si>
  <si>
    <t>备注</t>
  </si>
  <si>
    <t>是</t>
  </si>
  <si>
    <t>本次清算项目</t>
  </si>
  <si>
    <t>直接归集成本费用</t>
  </si>
  <si>
    <t>共同成本费用</t>
  </si>
  <si>
    <t>8=5+6+7</t>
  </si>
  <si>
    <t>9=4+8</t>
  </si>
  <si>
    <t>其中</t>
  </si>
  <si>
    <t>房地产开发成本</t>
  </si>
  <si>
    <t>计算扣除</t>
  </si>
  <si>
    <t>其它房地产开发费用</t>
  </si>
  <si>
    <t>与转让房地产有关的税金</t>
  </si>
  <si>
    <t>营业税</t>
  </si>
  <si>
    <t>城市维护建设税</t>
  </si>
  <si>
    <t>教育费附加</t>
  </si>
  <si>
    <t>地方教育费附加</t>
  </si>
  <si>
    <t>其他税（费）</t>
  </si>
  <si>
    <t>财政部规定的其他扣除项目</t>
  </si>
  <si>
    <t>代收费用</t>
  </si>
  <si>
    <t>*幢号</t>
  </si>
  <si>
    <t>单元号</t>
  </si>
  <si>
    <t>*楼层</t>
  </si>
  <si>
    <t>*房号</t>
  </si>
  <si>
    <t>*房屋类型</t>
  </si>
  <si>
    <t>*房屋状态</t>
  </si>
  <si>
    <t>*收入类型</t>
  </si>
  <si>
    <t>（网签）合同编号</t>
  </si>
  <si>
    <t>*合同签订时间</t>
  </si>
  <si>
    <t>合同金额</t>
  </si>
  <si>
    <t>购房人姓名</t>
  </si>
  <si>
    <t>合同建筑面积（㎡）</t>
  </si>
  <si>
    <t>合同套内面积（㎡）</t>
  </si>
  <si>
    <t>*实测建筑面积（㎡）</t>
  </si>
  <si>
    <t>实测套内面积（㎡）</t>
  </si>
  <si>
    <t>朝向</t>
  </si>
  <si>
    <t>发票代码</t>
  </si>
  <si>
    <t>发票号码</t>
  </si>
  <si>
    <t>发票金额</t>
  </si>
  <si>
    <t>发票税额</t>
  </si>
  <si>
    <t>发票价税合计</t>
  </si>
  <si>
    <t>*土地增值税应税收入</t>
  </si>
  <si>
    <t>土地增值税应税单价</t>
  </si>
  <si>
    <t>情况说明</t>
  </si>
  <si>
    <t>*</t>
  </si>
  <si>
    <t>*记账日期</t>
  </si>
  <si>
    <t>*记账凭证号码</t>
  </si>
  <si>
    <t>*科目名称</t>
  </si>
  <si>
    <t>*二级科目名称</t>
  </si>
  <si>
    <t>内容摘要</t>
  </si>
  <si>
    <t>合同编号</t>
  </si>
  <si>
    <t>合同名称</t>
  </si>
  <si>
    <t>合同类别</t>
  </si>
  <si>
    <t>收款单位</t>
  </si>
  <si>
    <t>*凭据类型</t>
  </si>
  <si>
    <t>凭据代码</t>
  </si>
  <si>
    <t>凭据号码</t>
  </si>
  <si>
    <t>*凭据金额</t>
  </si>
  <si>
    <t>*付款金额</t>
  </si>
  <si>
    <t>*记账金额</t>
  </si>
  <si>
    <t>申报调整金额</t>
  </si>
  <si>
    <t>*申报扣除的记账金额</t>
  </si>
  <si>
    <t>分摊至本项目比例</t>
  </si>
  <si>
    <t>*本项目扣除金额</t>
  </si>
  <si>
    <t>*成本对象类型</t>
  </si>
  <si>
    <t>*普通住宅分摊金额</t>
  </si>
  <si>
    <t>*非普通住宅分摊金额</t>
  </si>
  <si>
    <t>*其他类型房产分摊金额</t>
  </si>
  <si>
    <t>*分摊方法</t>
  </si>
  <si>
    <t>分摊方法说明</t>
  </si>
  <si>
    <t>*是否可加计扣除</t>
  </si>
  <si>
    <t>总计</t>
  </si>
  <si>
    <t>筛选小计</t>
  </si>
  <si>
    <t>列次</t>
  </si>
  <si>
    <t>17=15+16</t>
  </si>
  <si>
    <t>19=17×18</t>
  </si>
  <si>
    <t>23=19-22-24</t>
  </si>
  <si>
    <t>可加计</t>
  </si>
  <si>
    <t>*合同编号</t>
  </si>
  <si>
    <t>*合同名称</t>
  </si>
  <si>
    <t>*收款单位</t>
  </si>
  <si>
    <t>合同签订日期</t>
  </si>
  <si>
    <t>结算金额</t>
  </si>
  <si>
    <t>*关联关系（是否）</t>
  </si>
  <si>
    <t>*甲方供材
（是否）</t>
  </si>
  <si>
    <t>*不同项目分摊
（是否）</t>
  </si>
  <si>
    <t>项目间共同成本费用分摊信息</t>
  </si>
  <si>
    <t>分期合同分摊方法</t>
  </si>
  <si>
    <t>分摊至本期项目扣除比例</t>
  </si>
  <si>
    <t>申报准予扣除的记账金额</t>
  </si>
  <si>
    <t>前期累计
分摊金额</t>
  </si>
  <si>
    <t>本期项目
扣除金额</t>
  </si>
  <si>
    <t>剩余
待摊金额</t>
  </si>
  <si>
    <t>共同成本费用应当分摊的项目名称（下拉选择）</t>
  </si>
  <si>
    <t>16=13-14-15</t>
  </si>
  <si>
    <t>项目1</t>
  </si>
  <si>
    <t>项目2</t>
  </si>
  <si>
    <t>项目3</t>
  </si>
  <si>
    <t>项目4</t>
  </si>
  <si>
    <t>项目5</t>
  </si>
  <si>
    <t>项目6</t>
  </si>
  <si>
    <t>项目7</t>
  </si>
  <si>
    <t>项目8</t>
  </si>
  <si>
    <t>项目9</t>
  </si>
  <si>
    <t>项目……</t>
  </si>
  <si>
    <t>清算项目造价信息</t>
  </si>
  <si>
    <t>数据来源</t>
  </si>
  <si>
    <t>分类</t>
  </si>
  <si>
    <t>拓展字段1</t>
  </si>
  <si>
    <t>拓展字段2</t>
  </si>
  <si>
    <t>拓展字段3</t>
  </si>
  <si>
    <t>拓展字段4</t>
  </si>
  <si>
    <t>拓展字段5</t>
  </si>
  <si>
    <t>拓展字段6</t>
  </si>
  <si>
    <t>拓展字段7</t>
  </si>
  <si>
    <t>拓展字段8</t>
  </si>
  <si>
    <t>拓展字段9</t>
  </si>
  <si>
    <t>拓展字段10</t>
  </si>
  <si>
    <t>拓展字段11</t>
  </si>
  <si>
    <t>填报数据</t>
  </si>
  <si>
    <t>单位</t>
  </si>
  <si>
    <t>㎡</t>
  </si>
  <si>
    <t>数量</t>
  </si>
  <si>
    <t>本项目扣除金额</t>
  </si>
  <si>
    <t>单位扣除金额</t>
  </si>
  <si>
    <t>主体建筑基础造价信息</t>
  </si>
  <si>
    <t>楼栋类型</t>
  </si>
  <si>
    <t>房屋结构</t>
  </si>
  <si>
    <t>地质结构</t>
  </si>
  <si>
    <t>桩基类型</t>
  </si>
  <si>
    <t>交付标准</t>
  </si>
  <si>
    <t>外立面类型</t>
  </si>
  <si>
    <t>地上层数</t>
  </si>
  <si>
    <t>地下层数</t>
  </si>
  <si>
    <t>地上建筑面积</t>
  </si>
  <si>
    <t>地下建筑面积</t>
  </si>
  <si>
    <t>其中：人防设施面积</t>
  </si>
  <si>
    <t>总建筑面积</t>
  </si>
  <si>
    <t>地上总层高（m)</t>
  </si>
  <si>
    <t>开工日期</t>
  </si>
  <si>
    <t>竣工日期</t>
  </si>
  <si>
    <t>-1层</t>
  </si>
  <si>
    <t>-2层</t>
  </si>
  <si>
    <t>-3层及以下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</si>
  <si>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</si>
  <si>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</si>
  <si>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</si>
  <si>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</si>
  <si>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</si>
  <si>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</si>
  <si>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</si>
  <si>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</si>
  <si>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</si>
  <si>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</si>
  <si>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取得土地使用权所支付的金额</t>
  </si>
  <si>
    <t>土地征用及拆迁补偿费</t>
  </si>
  <si>
    <t>前期工程费</t>
  </si>
  <si>
    <t>建筑安装工程费</t>
  </si>
  <si>
    <t>基础设施费</t>
  </si>
  <si>
    <t>公共配套设施费</t>
  </si>
  <si>
    <t>开发间接费用</t>
  </si>
  <si>
    <t>房地产开发费用</t>
  </si>
  <si>
    <t>凭据类型</t>
  </si>
  <si>
    <t>三分法（不适用）</t>
  </si>
  <si>
    <t>费用计算扣除方法</t>
  </si>
  <si>
    <t>支付的土地出让金额</t>
  </si>
  <si>
    <t>土地征用费用</t>
  </si>
  <si>
    <t>规划费用</t>
  </si>
  <si>
    <t>桩基础工程费用</t>
  </si>
  <si>
    <t>开发小区内道路工程支出</t>
  </si>
  <si>
    <t>居委会用房费用</t>
  </si>
  <si>
    <t>管理人员工资</t>
  </si>
  <si>
    <t>利息支出</t>
  </si>
  <si>
    <t>非税收入票据</t>
  </si>
  <si>
    <t>不可选择</t>
  </si>
  <si>
    <t>占地面积法</t>
  </si>
  <si>
    <t>建设工程合同</t>
  </si>
  <si>
    <t>住宅楼</t>
  </si>
  <si>
    <t>砖混</t>
  </si>
  <si>
    <t>均质地质</t>
  </si>
  <si>
    <t>天然基础</t>
  </si>
  <si>
    <t>精装交付</t>
  </si>
  <si>
    <t>标准外立面</t>
  </si>
  <si>
    <t>支付的地价款金额</t>
  </si>
  <si>
    <t>耕地占用税</t>
  </si>
  <si>
    <t>设计费用</t>
  </si>
  <si>
    <t>地下室工程费用</t>
  </si>
  <si>
    <t>供水工程支出</t>
  </si>
  <si>
    <t>派出所用房费用</t>
  </si>
  <si>
    <t>职工福利费</t>
  </si>
  <si>
    <t>增值税专用发票</t>
  </si>
  <si>
    <t>总建筑面积法</t>
  </si>
  <si>
    <t>不可加计</t>
  </si>
  <si>
    <t>买卖合同</t>
  </si>
  <si>
    <t>商业楼</t>
  </si>
  <si>
    <t>框架</t>
  </si>
  <si>
    <t>淤泥地质</t>
  </si>
  <si>
    <t>预制管桩</t>
  </si>
  <si>
    <t>简装交付</t>
  </si>
  <si>
    <t>玻璃幕墙</t>
  </si>
  <si>
    <t>其他合理方法</t>
  </si>
  <si>
    <t>人工填写</t>
  </si>
  <si>
    <t>测绘总建筑面积法</t>
  </si>
  <si>
    <t>交纳的有关税费</t>
  </si>
  <si>
    <t>劳动力安置费</t>
  </si>
  <si>
    <t>项目可行性研究费用</t>
  </si>
  <si>
    <t>地上建筑工程费用</t>
  </si>
  <si>
    <t>供电工程支出</t>
  </si>
  <si>
    <t>会所费用</t>
  </si>
  <si>
    <t>折旧费</t>
  </si>
  <si>
    <t>增值税普通发票</t>
  </si>
  <si>
    <t>承揽合同</t>
  </si>
  <si>
    <t>商业裙楼</t>
  </si>
  <si>
    <t>框架剪力墙</t>
  </si>
  <si>
    <t>岩溶地质</t>
  </si>
  <si>
    <t>旋挖桩</t>
  </si>
  <si>
    <t>毛坯交付</t>
  </si>
  <si>
    <t>干挂石材</t>
  </si>
  <si>
    <t>安置动迁用房支出</t>
  </si>
  <si>
    <t>水文费用</t>
  </si>
  <si>
    <t>户内装修费用</t>
  </si>
  <si>
    <t>供气工程支出</t>
  </si>
  <si>
    <t>非机动车库（场）费用</t>
  </si>
  <si>
    <t>修理费</t>
  </si>
  <si>
    <t>营业税发票</t>
  </si>
  <si>
    <t>计容建筑面积法</t>
  </si>
  <si>
    <t>产权转移书据</t>
  </si>
  <si>
    <t>独栋别墅</t>
  </si>
  <si>
    <t>钢混</t>
  </si>
  <si>
    <t>其他地质</t>
  </si>
  <si>
    <t>钻（冲）孔桩</t>
  </si>
  <si>
    <t>其他外立面</t>
  </si>
  <si>
    <t>其他分摊方法</t>
  </si>
  <si>
    <t>拆迁补偿费</t>
  </si>
  <si>
    <t>地质费用</t>
  </si>
  <si>
    <t>高档外立面工程费用</t>
  </si>
  <si>
    <t>排污工程支出</t>
  </si>
  <si>
    <t>地下人防设施费用</t>
  </si>
  <si>
    <t>办公费</t>
  </si>
  <si>
    <t>完税凭证</t>
  </si>
  <si>
    <t>层高系数法</t>
  </si>
  <si>
    <t>技术合同</t>
  </si>
  <si>
    <t>联排别墅</t>
  </si>
  <si>
    <t>全钢</t>
  </si>
  <si>
    <t>其他类型桩基</t>
  </si>
  <si>
    <t>手工填写分摊比例</t>
  </si>
  <si>
    <t>其他营业性房产</t>
  </si>
  <si>
    <t>其他土地征用及拆迁补偿费</t>
  </si>
  <si>
    <t>勘探费用</t>
  </si>
  <si>
    <t>其他建筑安装工程费</t>
  </si>
  <si>
    <t>排洪工程支出</t>
  </si>
  <si>
    <t>物业管理场所费用</t>
  </si>
  <si>
    <t>水电费</t>
  </si>
  <si>
    <t>其他凭据</t>
  </si>
  <si>
    <t>运输合同</t>
  </si>
  <si>
    <t>配套设施</t>
  </si>
  <si>
    <t>预制装配</t>
  </si>
  <si>
    <t>居委会用房</t>
  </si>
  <si>
    <t>测绘费用</t>
  </si>
  <si>
    <t>通讯工程支出</t>
  </si>
  <si>
    <t>变电站费用</t>
  </si>
  <si>
    <t>劳动保护费</t>
  </si>
  <si>
    <t>未取得凭据</t>
  </si>
  <si>
    <t>借款合同</t>
  </si>
  <si>
    <t>其他类型楼栋</t>
  </si>
  <si>
    <t>派出所用房</t>
  </si>
  <si>
    <t>七通一平支出</t>
  </si>
  <si>
    <t>照明工程支出</t>
  </si>
  <si>
    <t>热力站费用</t>
  </si>
  <si>
    <t>周转房摊销费</t>
  </si>
  <si>
    <t>融资租赁合同</t>
  </si>
  <si>
    <t>会所</t>
  </si>
  <si>
    <t>其他前期工程费</t>
  </si>
  <si>
    <t>环卫工程支出</t>
  </si>
  <si>
    <t>水厂费用</t>
  </si>
  <si>
    <t>其他发生的间接费用</t>
  </si>
  <si>
    <t>租赁合同</t>
  </si>
  <si>
    <t>非机动车库（场）</t>
  </si>
  <si>
    <t>绿化费用</t>
  </si>
  <si>
    <t>文体场馆费用</t>
  </si>
  <si>
    <t>保管合同</t>
  </si>
  <si>
    <t>地下人防设施</t>
  </si>
  <si>
    <t>其他设施工程发生的支出</t>
  </si>
  <si>
    <t>学校费用</t>
  </si>
  <si>
    <t>仓储合同</t>
  </si>
  <si>
    <t>物业管理场所</t>
  </si>
  <si>
    <t>幼儿园费用</t>
  </si>
  <si>
    <t>财产保险合同</t>
  </si>
  <si>
    <t>变电站</t>
  </si>
  <si>
    <t>托儿所费用</t>
  </si>
  <si>
    <t>其他合同</t>
  </si>
  <si>
    <t>热力站</t>
  </si>
  <si>
    <t>医院费用</t>
  </si>
  <si>
    <t>水厂</t>
  </si>
  <si>
    <t>邮电通讯费用</t>
  </si>
  <si>
    <t>文体场馆</t>
  </si>
  <si>
    <t>其他非营业性房产费用</t>
  </si>
  <si>
    <t>学校</t>
  </si>
  <si>
    <t>幼儿园</t>
  </si>
  <si>
    <t>托儿所</t>
  </si>
  <si>
    <t>医院</t>
  </si>
  <si>
    <t>邮电通讯</t>
  </si>
  <si>
    <t>其他非营业性房产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</si>
</sst>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/d;@"/>
    <numFmt numFmtId="177" formatCode="0.00_ "/>
    <numFmt numFmtId="178" formatCode="0.00_);[Red]\(0.00\)"/>
    <numFmt numFmtId="179" formatCode="_ * #,##0_ ;_ * \-#,##0_ ;_ * &quot;-&quot;??_ ;_ @_ "/>
    <numFmt numFmtId="180" formatCode="0.0000%"/>
  </numFmts>
  <fonts count="81">
    <font>
      <sz val="12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6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宋体"/>
      <charset val="134"/>
    </font>
    <font>
      <sz val="16"/>
      <color rgb="FF000000"/>
      <name val="方正小标宋简体"/>
      <charset val="134"/>
    </font>
    <font>
      <sz val="11"/>
      <color rgb="FF000000"/>
      <name val="Times New Roman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1"/>
      <color rgb="FF000000"/>
      <name val="宋体-简"/>
      <charset val="134"/>
    </font>
    <font>
      <b/>
      <sz val="10"/>
      <color theme="1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微软雅黑"/>
      <charset val="134"/>
    </font>
    <font>
      <sz val="10"/>
      <color rgb="FF000000"/>
      <name val="宋体"/>
      <charset val="134"/>
    </font>
    <font>
      <sz val="10"/>
      <name val="微软雅黑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9"/>
      <name val="宋体"/>
      <charset val="134"/>
    </font>
    <font>
      <sz val="14"/>
      <name val="方正小标宋简体"/>
      <charset val="134"/>
    </font>
    <font>
      <sz val="12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color rgb="FF000000"/>
      <name val="Times New Roman"/>
      <charset val="134"/>
    </font>
    <font>
      <sz val="10"/>
      <color theme="4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6"/>
      <color indexed="8"/>
      <name val="方正小标宋简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24"/>
      <name val="宋体"/>
      <charset val="134"/>
    </font>
    <font>
      <b/>
      <sz val="12"/>
      <name val="Times New Roman"/>
      <charset val="134"/>
    </font>
    <font>
      <sz val="12"/>
      <color rgb="FFFF0000"/>
      <name val="宋体"/>
      <charset val="134"/>
    </font>
    <font>
      <sz val="20"/>
      <name val="方正小标宋简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b/>
      <sz val="14"/>
      <color indexed="8"/>
      <name val="宋体"/>
      <charset val="134"/>
    </font>
    <font>
      <b/>
      <sz val="10"/>
      <name val="Times New Roman"/>
      <charset val="134"/>
    </font>
    <font>
      <sz val="14"/>
      <color rgb="FF232323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26"/>
      <color theme="1"/>
      <name val="方正小标宋简体"/>
      <charset val="134"/>
    </font>
    <font>
      <sz val="20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22"/>
      <name val="方正小标宋简体"/>
      <charset val="134"/>
    </font>
    <font>
      <b/>
      <sz val="14"/>
      <name val="宋体"/>
      <charset val="134"/>
    </font>
    <font>
      <sz val="18"/>
      <name val="SimSun"/>
      <charset val="134"/>
    </font>
    <font>
      <sz val="18"/>
      <name val="方正小标宋简体"/>
      <charset val="134"/>
    </font>
    <font>
      <sz val="10.5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rgb="FF000000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4" fillId="5" borderId="12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5" fillId="17" borderId="13" applyNumberFormat="0" applyFont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0" borderId="17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77" fillId="22" borderId="18" applyNumberFormat="0" applyAlignment="0" applyProtection="0">
      <alignment vertical="center"/>
    </xf>
    <xf numFmtId="0" fontId="79" fillId="22" borderId="12" applyNumberFormat="0" applyAlignment="0" applyProtection="0">
      <alignment vertical="center"/>
    </xf>
    <xf numFmtId="0" fontId="62" fillId="3" borderId="11" applyNumberFormat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1" fillId="0" borderId="16" applyNumberFormat="0" applyFill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8" fillId="23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31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80" fillId="0" borderId="0">
      <alignment vertical="center"/>
    </xf>
    <xf numFmtId="0" fontId="63" fillId="29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0" fillId="0" borderId="0"/>
  </cellStyleXfs>
  <cellXfs count="36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3" fontId="4" fillId="0" borderId="0" xfId="8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3" fontId="1" fillId="0" borderId="1" xfId="8" applyFont="1" applyFill="1" applyBorder="1" applyAlignment="1">
      <alignment horizontal="center" vertical="center" wrapText="1"/>
    </xf>
    <xf numFmtId="0" fontId="1" fillId="0" borderId="1" xfId="8" applyNumberFormat="1" applyFont="1" applyFill="1" applyBorder="1" applyAlignment="1">
      <alignment horizontal="center" vertical="center" wrapText="1"/>
    </xf>
    <xf numFmtId="43" fontId="1" fillId="0" borderId="1" xfId="8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9" fontId="1" fillId="0" borderId="1" xfId="8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49" fontId="4" fillId="0" borderId="0" xfId="0" applyNumberFormat="1" applyFont="1" applyFill="1" applyAlignment="1"/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3" fontId="0" fillId="0" borderId="0" xfId="8" applyFont="1" applyFill="1" applyAlignment="1">
      <alignment vertical="center"/>
    </xf>
    <xf numFmtId="10" fontId="0" fillId="0" borderId="0" xfId="11" applyNumberFormat="1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>
      <alignment vertical="center"/>
    </xf>
    <xf numFmtId="43" fontId="4" fillId="0" borderId="1" xfId="8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3" fillId="0" borderId="1" xfId="8" applyNumberFormat="1" applyFont="1" applyFill="1" applyBorder="1" applyAlignment="1">
      <alignment horizontal="center" vertical="center" wrapText="1"/>
    </xf>
    <xf numFmtId="49" fontId="13" fillId="0" borderId="1" xfId="1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0" fontId="4" fillId="0" borderId="1" xfId="11" applyNumberFormat="1" applyFont="1" applyFill="1" applyBorder="1" applyAlignment="1">
      <alignment horizontal="center" vertical="center" wrapText="1"/>
    </xf>
    <xf numFmtId="43" fontId="4" fillId="0" borderId="1" xfId="8" applyFont="1" applyFill="1" applyBorder="1">
      <alignment vertical="center"/>
    </xf>
    <xf numFmtId="0" fontId="13" fillId="0" borderId="1" xfId="8" applyNumberFormat="1" applyFont="1" applyFill="1" applyBorder="1" applyAlignment="1">
      <alignment horizontal="center" vertical="center" wrapText="1"/>
    </xf>
    <xf numFmtId="43" fontId="4" fillId="0" borderId="1" xfId="0" applyNumberFormat="1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44" applyFont="1" applyFill="1">
      <alignment vertical="center"/>
    </xf>
    <xf numFmtId="49" fontId="0" fillId="0" borderId="0" xfId="44" applyNumberFormat="1" applyFill="1" applyAlignment="1">
      <alignment horizontal="center" vertical="center" wrapText="1"/>
    </xf>
    <xf numFmtId="0" fontId="0" fillId="0" borderId="0" xfId="44" applyFill="1" applyAlignment="1">
      <alignment horizontal="center" vertical="center" wrapText="1"/>
    </xf>
    <xf numFmtId="0" fontId="0" fillId="0" borderId="0" xfId="44" applyFill="1" applyAlignment="1">
      <alignment horizontal="left" vertical="center" wrapText="1"/>
    </xf>
    <xf numFmtId="0" fontId="0" fillId="0" borderId="0" xfId="44" applyFill="1" applyAlignment="1">
      <alignment horizontal="center" vertical="center"/>
    </xf>
    <xf numFmtId="0" fontId="0" fillId="0" borderId="0" xfId="44" applyFill="1">
      <alignment vertical="center"/>
    </xf>
    <xf numFmtId="49" fontId="0" fillId="0" borderId="0" xfId="44" applyNumberFormat="1" applyFill="1">
      <alignment vertical="center"/>
    </xf>
    <xf numFmtId="43" fontId="0" fillId="0" borderId="0" xfId="8" applyFont="1" applyFill="1" applyBorder="1" applyAlignment="1" applyProtection="1">
      <alignment vertical="center"/>
    </xf>
    <xf numFmtId="10" fontId="0" fillId="0" borderId="0" xfId="11" applyNumberFormat="1" applyFont="1" applyFill="1" applyBorder="1" applyAlignment="1" applyProtection="1">
      <alignment horizontal="center" vertical="center"/>
    </xf>
    <xf numFmtId="43" fontId="0" fillId="0" borderId="0" xfId="8" applyFont="1" applyFill="1" applyBorder="1" applyAlignment="1" applyProtection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0" fillId="0" borderId="4" xfId="51" applyFont="1" applyFill="1" applyBorder="1" applyAlignment="1">
      <alignment horizontal="center" vertical="center"/>
    </xf>
    <xf numFmtId="49" fontId="5" fillId="0" borderId="1" xfId="51" applyNumberFormat="1" applyFont="1" applyFill="1" applyBorder="1" applyAlignment="1">
      <alignment horizontal="center" vertical="center" wrapText="1"/>
    </xf>
    <xf numFmtId="49" fontId="16" fillId="0" borderId="1" xfId="51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176" fontId="4" fillId="0" borderId="1" xfId="51" applyNumberFormat="1" applyFont="1" applyFill="1" applyBorder="1" applyAlignment="1">
      <alignment horizontal="left" vertical="center" wrapText="1"/>
    </xf>
    <xf numFmtId="49" fontId="4" fillId="0" borderId="1" xfId="51" applyNumberFormat="1" applyFont="1" applyFill="1" applyBorder="1" applyAlignment="1">
      <alignment horizontal="left" vertical="center" wrapText="1"/>
    </xf>
    <xf numFmtId="0" fontId="4" fillId="0" borderId="1" xfId="5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7" fillId="0" borderId="0" xfId="0" applyNumberFormat="1" applyFont="1" applyFill="1" applyAlignment="1">
      <alignment horizontal="center" vertical="center"/>
    </xf>
    <xf numFmtId="49" fontId="10" fillId="0" borderId="4" xfId="51" applyNumberFormat="1" applyFont="1" applyFill="1" applyBorder="1" applyAlignment="1">
      <alignment horizontal="center" vertical="center"/>
    </xf>
    <xf numFmtId="49" fontId="5" fillId="0" borderId="1" xfId="8" applyNumberFormat="1" applyFont="1" applyFill="1" applyBorder="1" applyAlignment="1" applyProtection="1">
      <alignment horizontal="center" vertical="center" wrapText="1"/>
    </xf>
    <xf numFmtId="43" fontId="17" fillId="0" borderId="1" xfId="8" applyFont="1" applyFill="1" applyBorder="1" applyAlignment="1" applyProtection="1">
      <alignment horizontal="center" vertical="center" wrapText="1"/>
    </xf>
    <xf numFmtId="43" fontId="5" fillId="0" borderId="1" xfId="8" applyFont="1" applyFill="1" applyBorder="1" applyAlignment="1" applyProtection="1">
      <alignment horizontal="center" vertical="center" wrapText="1"/>
    </xf>
    <xf numFmtId="43" fontId="4" fillId="0" borderId="1" xfId="8" applyFont="1" applyFill="1" applyBorder="1" applyAlignment="1" applyProtection="1">
      <alignment horizontal="left" vertical="center" wrapText="1"/>
    </xf>
    <xf numFmtId="49" fontId="5" fillId="0" borderId="1" xfId="11" applyNumberFormat="1" applyFont="1" applyFill="1" applyBorder="1" applyAlignment="1" applyProtection="1">
      <alignment horizontal="center" vertical="center" wrapText="1"/>
    </xf>
    <xf numFmtId="10" fontId="5" fillId="0" borderId="1" xfId="11" applyNumberFormat="1" applyFont="1" applyFill="1" applyBorder="1" applyAlignment="1" applyProtection="1">
      <alignment horizontal="center" vertical="center" wrapText="1"/>
    </xf>
    <xf numFmtId="10" fontId="4" fillId="0" borderId="1" xfId="11" applyNumberFormat="1" applyFont="1" applyFill="1" applyBorder="1" applyAlignment="1" applyProtection="1">
      <alignment horizontal="center" vertical="center" wrapText="1"/>
    </xf>
    <xf numFmtId="0" fontId="4" fillId="0" borderId="1" xfId="51" applyFont="1" applyFill="1" applyBorder="1" applyAlignment="1" applyProtection="1">
      <alignment horizontal="left" vertical="center" wrapText="1"/>
      <protection locked="0"/>
    </xf>
    <xf numFmtId="43" fontId="4" fillId="0" borderId="1" xfId="8" applyFont="1" applyFill="1" applyBorder="1" applyAlignment="1" applyProtection="1">
      <alignment horizontal="right" vertical="center" wrapText="1"/>
      <protection locked="0"/>
    </xf>
    <xf numFmtId="0" fontId="4" fillId="0" borderId="0" xfId="51" applyFont="1" applyFill="1" applyAlignment="1">
      <alignment vertical="center"/>
    </xf>
    <xf numFmtId="49" fontId="18" fillId="0" borderId="0" xfId="44" applyNumberFormat="1" applyFont="1" applyFill="1" applyAlignment="1">
      <alignment horizontal="center" vertical="center" wrapText="1"/>
    </xf>
    <xf numFmtId="0" fontId="18" fillId="0" borderId="0" xfId="44" applyFont="1" applyFill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" fillId="0" borderId="1" xfId="44" applyFont="1" applyFill="1" applyBorder="1" applyAlignment="1">
      <alignment horizontal="center" vertical="center" wrapText="1"/>
    </xf>
    <xf numFmtId="0" fontId="20" fillId="0" borderId="0" xfId="44" applyFont="1" applyFill="1" applyAlignment="1">
      <alignment horizontal="left" vertical="center" wrapText="1"/>
    </xf>
    <xf numFmtId="49" fontId="20" fillId="0" borderId="0" xfId="44" applyNumberFormat="1" applyFont="1" applyFill="1" applyAlignment="1">
      <alignment horizontal="center" vertical="center" wrapText="1"/>
    </xf>
    <xf numFmtId="0" fontId="20" fillId="0" borderId="0" xfId="44" applyFont="1" applyFill="1" applyAlignment="1">
      <alignment horizontal="center" vertical="center" wrapText="1"/>
    </xf>
    <xf numFmtId="0" fontId="3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1" fillId="0" borderId="0" xfId="0" applyFont="1" applyFill="1" applyAlignment="1" applyProtection="1"/>
    <xf numFmtId="0" fontId="22" fillId="0" borderId="0" xfId="0" applyFont="1" applyFill="1" applyAlignment="1" applyProtection="1">
      <alignment wrapText="1"/>
      <protection locked="0"/>
    </xf>
    <xf numFmtId="0" fontId="23" fillId="0" borderId="0" xfId="0" applyFont="1" applyFill="1" applyAlignment="1" applyProtection="1">
      <protection locked="0"/>
    </xf>
    <xf numFmtId="49" fontId="23" fillId="0" borderId="0" xfId="0" applyNumberFormat="1" applyFont="1" applyFill="1" applyAlignment="1" applyProtection="1">
      <protection locked="0"/>
    </xf>
    <xf numFmtId="49" fontId="24" fillId="0" borderId="0" xfId="0" applyNumberFormat="1" applyFont="1" applyFill="1" applyAlignment="1" applyProtection="1">
      <protection locked="0"/>
    </xf>
    <xf numFmtId="43" fontId="23" fillId="0" borderId="0" xfId="8" applyFont="1" applyFill="1" applyBorder="1" applyAlignment="1" applyProtection="1">
      <protection locked="0"/>
    </xf>
    <xf numFmtId="0" fontId="25" fillId="0" borderId="0" xfId="0" applyFont="1" applyFill="1" applyAlignment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177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17" fillId="0" borderId="1" xfId="0" applyNumberFormat="1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wrapText="1"/>
      <protection locked="0"/>
    </xf>
    <xf numFmtId="49" fontId="26" fillId="0" borderId="1" xfId="0" applyNumberFormat="1" applyFont="1" applyFill="1" applyBorder="1" applyAlignment="1" applyProtection="1">
      <alignment wrapText="1"/>
      <protection locked="0"/>
    </xf>
    <xf numFmtId="0" fontId="27" fillId="0" borderId="1" xfId="0" applyFont="1" applyFill="1" applyBorder="1" applyAlignment="1" applyProtection="1">
      <alignment wrapText="1"/>
      <protection locked="0"/>
    </xf>
    <xf numFmtId="49" fontId="27" fillId="0" borderId="1" xfId="0" applyNumberFormat="1" applyFont="1" applyFill="1" applyBorder="1" applyAlignment="1" applyProtection="1">
      <alignment wrapText="1"/>
      <protection locked="0"/>
    </xf>
    <xf numFmtId="0" fontId="26" fillId="0" borderId="0" xfId="0" applyFont="1" applyFill="1" applyAlignment="1" applyProtection="1">
      <protection locked="0"/>
    </xf>
    <xf numFmtId="49" fontId="26" fillId="0" borderId="0" xfId="0" applyNumberFormat="1" applyFont="1" applyFill="1" applyAlignment="1" applyProtection="1">
      <protection locked="0"/>
    </xf>
    <xf numFmtId="49" fontId="19" fillId="0" borderId="0" xfId="0" applyNumberFormat="1" applyFont="1" applyFill="1" applyAlignment="1" applyProtection="1">
      <protection locked="0"/>
    </xf>
    <xf numFmtId="177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17" fillId="0" borderId="1" xfId="8" applyFont="1" applyFill="1" applyBorder="1" applyAlignment="1" applyProtection="1">
      <alignment horizontal="center" vertical="center" wrapText="1"/>
      <protection locked="0"/>
    </xf>
    <xf numFmtId="176" fontId="26" fillId="0" borderId="1" xfId="0" applyNumberFormat="1" applyFont="1" applyFill="1" applyBorder="1" applyAlignment="1" applyProtection="1">
      <alignment wrapText="1"/>
      <protection locked="0"/>
    </xf>
    <xf numFmtId="43" fontId="26" fillId="0" borderId="1" xfId="8" applyFont="1" applyFill="1" applyBorder="1" applyAlignment="1" applyProtection="1">
      <alignment wrapText="1"/>
      <protection locked="0"/>
    </xf>
    <xf numFmtId="43" fontId="27" fillId="0" borderId="1" xfId="8" applyFont="1" applyFill="1" applyBorder="1" applyAlignment="1" applyProtection="1">
      <alignment wrapText="1"/>
      <protection locked="0"/>
    </xf>
    <xf numFmtId="176" fontId="27" fillId="0" borderId="1" xfId="0" applyNumberFormat="1" applyFont="1" applyFill="1" applyBorder="1" applyAlignment="1" applyProtection="1">
      <alignment wrapText="1"/>
      <protection locked="0"/>
    </xf>
    <xf numFmtId="43" fontId="26" fillId="0" borderId="0" xfId="8" applyFont="1" applyFill="1" applyBorder="1" applyAlignment="1" applyProtection="1">
      <protection locked="0"/>
    </xf>
    <xf numFmtId="43" fontId="16" fillId="0" borderId="1" xfId="8" applyFont="1" applyFill="1" applyBorder="1" applyAlignment="1" applyProtection="1">
      <alignment horizontal="center" vertical="center" wrapText="1"/>
      <protection locked="0"/>
    </xf>
    <xf numFmtId="43" fontId="27" fillId="0" borderId="1" xfId="8" applyFont="1" applyFill="1" applyBorder="1" applyAlignment="1" applyProtection="1">
      <alignment horizontal="center" wrapText="1"/>
    </xf>
    <xf numFmtId="0" fontId="4" fillId="0" borderId="0" xfId="0" applyFont="1" applyFill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28" fillId="0" borderId="0" xfId="0" applyFont="1" applyFill="1" applyProtection="1">
      <alignment vertical="center"/>
      <protection locked="0"/>
    </xf>
    <xf numFmtId="49" fontId="28" fillId="0" borderId="0" xfId="0" applyNumberFormat="1" applyFont="1" applyFill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3" fontId="0" fillId="0" borderId="0" xfId="8" applyFont="1" applyFill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  <protection locked="0"/>
    </xf>
    <xf numFmtId="0" fontId="29" fillId="0" borderId="0" xfId="0" applyFont="1" applyFill="1" applyAlignment="1" applyProtection="1">
      <alignment horizontal="center" vertical="center"/>
    </xf>
    <xf numFmtId="43" fontId="29" fillId="0" borderId="0" xfId="8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43" fontId="4" fillId="0" borderId="0" xfId="8" applyFont="1" applyFill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43" fontId="5" fillId="0" borderId="1" xfId="8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43" fontId="4" fillId="0" borderId="1" xfId="8" applyFont="1" applyFill="1" applyBorder="1" applyAlignment="1" applyProtection="1">
      <alignment horizontal="center" vertical="center" wrapText="1"/>
    </xf>
    <xf numFmtId="43" fontId="4" fillId="0" borderId="1" xfId="8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3" fontId="16" fillId="0" borderId="3" xfId="8" applyFont="1" applyFill="1" applyBorder="1" applyAlignment="1" applyProtection="1">
      <alignment horizontal="center" vertical="center"/>
    </xf>
    <xf numFmtId="43" fontId="16" fillId="0" borderId="8" xfId="8" applyFont="1" applyFill="1" applyBorder="1" applyAlignment="1" applyProtection="1">
      <alignment horizontal="center" vertical="center"/>
    </xf>
    <xf numFmtId="43" fontId="16" fillId="0" borderId="2" xfId="8" applyFont="1" applyFill="1" applyBorder="1" applyAlignment="1" applyProtection="1">
      <alignment horizontal="center" vertical="center"/>
    </xf>
    <xf numFmtId="43" fontId="16" fillId="0" borderId="1" xfId="8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3" fontId="4" fillId="0" borderId="1" xfId="8" applyFont="1" applyFill="1" applyBorder="1" applyAlignment="1" applyProtection="1">
      <alignment horizontal="center" vertical="center"/>
      <protection locked="0"/>
    </xf>
    <xf numFmtId="43" fontId="4" fillId="0" borderId="9" xfId="8" applyFont="1" applyFill="1" applyBorder="1" applyAlignment="1" applyProtection="1">
      <alignment horizontal="center" vertical="center"/>
    </xf>
    <xf numFmtId="0" fontId="30" fillId="0" borderId="0" xfId="0" applyFont="1" applyFill="1" applyAlignment="1">
      <alignment vertical="center" wrapText="1"/>
    </xf>
    <xf numFmtId="0" fontId="0" fillId="0" borderId="0" xfId="0" applyNumberFormat="1" applyFill="1" applyAlignment="1">
      <alignment horizontal="center" vertical="center"/>
    </xf>
    <xf numFmtId="43" fontId="21" fillId="0" borderId="0" xfId="8" applyFont="1" applyFill="1" applyBorder="1" applyAlignment="1" applyProtection="1">
      <alignment horizontal="center" vertical="center" wrapText="1"/>
    </xf>
    <xf numFmtId="0" fontId="0" fillId="0" borderId="0" xfId="8" applyNumberFormat="1" applyFont="1" applyFill="1" applyBorder="1" applyAlignment="1">
      <alignment vertical="center"/>
    </xf>
    <xf numFmtId="0" fontId="0" fillId="0" borderId="0" xfId="0" applyFill="1" applyAlignment="1"/>
    <xf numFmtId="0" fontId="4" fillId="0" borderId="4" xfId="0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1" xfId="8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3" fontId="3" fillId="0" borderId="1" xfId="8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31" fillId="0" borderId="0" xfId="0" applyFont="1" applyFill="1">
      <alignment vertical="center"/>
    </xf>
    <xf numFmtId="0" fontId="32" fillId="0" borderId="0" xfId="0" applyFont="1" applyFill="1" applyAlignment="1"/>
    <xf numFmtId="0" fontId="1" fillId="0" borderId="1" xfId="8" applyNumberFormat="1" applyFont="1" applyFill="1" applyBorder="1" applyAlignment="1">
      <alignment horizontal="center" vertical="center"/>
    </xf>
    <xf numFmtId="0" fontId="1" fillId="0" borderId="1" xfId="8" applyNumberFormat="1" applyFont="1" applyFill="1" applyBorder="1" applyAlignment="1">
      <alignment vertical="center"/>
    </xf>
    <xf numFmtId="0" fontId="4" fillId="0" borderId="0" xfId="0" applyFont="1" applyFill="1" applyAlignment="1" applyProtection="1">
      <protection locked="0"/>
    </xf>
    <xf numFmtId="0" fontId="33" fillId="0" borderId="0" xfId="0" applyFont="1" applyFill="1" applyProtection="1">
      <alignment vertical="center"/>
      <protection locked="0"/>
    </xf>
    <xf numFmtId="9" fontId="0" fillId="0" borderId="0" xfId="11" applyFont="1" applyFill="1" applyAlignment="1" applyProtection="1">
      <protection locked="0"/>
    </xf>
    <xf numFmtId="0" fontId="0" fillId="0" borderId="0" xfId="0" applyFill="1" applyAlignment="1" applyProtection="1"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43" fontId="0" fillId="0" borderId="0" xfId="8" applyFont="1" applyFill="1" applyAlignment="1" applyProtection="1">
      <protection locked="0"/>
    </xf>
    <xf numFmtId="0" fontId="34" fillId="0" borderId="0" xfId="0" applyFont="1" applyFill="1" applyAlignment="1" applyProtection="1">
      <alignment horizontal="center"/>
      <protection locked="0"/>
    </xf>
    <xf numFmtId="180" fontId="34" fillId="0" borderId="0" xfId="11" applyNumberFormat="1" applyFont="1" applyFill="1" applyAlignment="1" applyProtection="1">
      <protection locked="0"/>
    </xf>
    <xf numFmtId="0" fontId="11" fillId="0" borderId="0" xfId="0" applyFont="1" applyFill="1" applyAlignment="1" applyProtection="1">
      <alignment horizontal="center" vertical="center" wrapText="1"/>
    </xf>
    <xf numFmtId="43" fontId="11" fillId="0" borderId="0" xfId="8" applyFont="1" applyFill="1" applyAlignment="1" applyProtection="1">
      <alignment horizontal="center" vertical="center" wrapText="1"/>
    </xf>
    <xf numFmtId="180" fontId="11" fillId="0" borderId="0" xfId="11" applyNumberFormat="1" applyFont="1" applyFill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/>
    </xf>
    <xf numFmtId="43" fontId="12" fillId="0" borderId="0" xfId="8" applyFont="1" applyFill="1" applyAlignment="1" applyProtection="1">
      <alignment horizontal="center"/>
    </xf>
    <xf numFmtId="180" fontId="12" fillId="0" borderId="0" xfId="11" applyNumberFormat="1" applyFont="1" applyFill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 vertical="center" wrapText="1"/>
    </xf>
    <xf numFmtId="49" fontId="17" fillId="0" borderId="5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80" fontId="5" fillId="0" borderId="8" xfId="11" applyNumberFormat="1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49" fontId="17" fillId="0" borderId="6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180" fontId="17" fillId="0" borderId="1" xfId="11" applyNumberFormat="1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49" fontId="17" fillId="0" borderId="7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3" fontId="19" fillId="0" borderId="1" xfId="8" applyFont="1" applyFill="1" applyBorder="1" applyAlignment="1" applyProtection="1">
      <alignment vertical="center" wrapText="1"/>
    </xf>
    <xf numFmtId="9" fontId="19" fillId="0" borderId="9" xfId="0" applyNumberFormat="1" applyFont="1" applyFill="1" applyBorder="1" applyAlignment="1" applyProtection="1">
      <alignment horizontal="center" vertical="center" wrapText="1"/>
    </xf>
    <xf numFmtId="10" fontId="4" fillId="0" borderId="9" xfId="11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9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1" xfId="11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</xf>
    <xf numFmtId="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19" fillId="0" borderId="9" xfId="11" applyNumberFormat="1" applyFont="1" applyFill="1" applyBorder="1" applyAlignment="1" applyProtection="1">
      <alignment vertical="center" wrapText="1"/>
    </xf>
    <xf numFmtId="43" fontId="19" fillId="0" borderId="9" xfId="8" applyFont="1" applyFill="1" applyBorder="1" applyAlignment="1" applyProtection="1">
      <alignment vertical="center" wrapText="1"/>
    </xf>
    <xf numFmtId="0" fontId="21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vertical="center" wrapText="1"/>
      <protection locked="0"/>
    </xf>
    <xf numFmtId="0" fontId="35" fillId="0" borderId="0" xfId="0" applyFont="1" applyFill="1" applyAlignment="1" applyProtection="1">
      <alignment vertical="center" wrapText="1"/>
      <protection locked="0"/>
    </xf>
    <xf numFmtId="43" fontId="35" fillId="0" borderId="0" xfId="8" applyFont="1" applyFill="1" applyBorder="1" applyAlignment="1" applyProtection="1">
      <alignment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180" fontId="35" fillId="0" borderId="0" xfId="11" applyNumberFormat="1" applyFont="1" applyFill="1" applyBorder="1" applyAlignment="1" applyProtection="1">
      <alignment vertical="center" wrapText="1"/>
      <protection locked="0"/>
    </xf>
    <xf numFmtId="9" fontId="30" fillId="0" borderId="0" xfId="11" applyFont="1" applyFill="1" applyAlignment="1" applyProtection="1">
      <alignment horizontal="center" vertical="center"/>
      <protection locked="0"/>
    </xf>
    <xf numFmtId="49" fontId="0" fillId="0" borderId="0" xfId="11" applyNumberFormat="1" applyFont="1" applyFill="1" applyAlignment="1" applyProtection="1">
      <alignment horizontal="center"/>
      <protection locked="0"/>
    </xf>
    <xf numFmtId="9" fontId="34" fillId="0" borderId="0" xfId="11" applyFont="1" applyFill="1" applyAlignment="1" applyProtection="1">
      <alignment horizontal="center"/>
      <protection locked="0"/>
    </xf>
    <xf numFmtId="49" fontId="30" fillId="0" borderId="0" xfId="11" applyNumberFormat="1" applyFont="1" applyFill="1" applyAlignment="1" applyProtection="1">
      <alignment horizontal="center" vertical="center"/>
      <protection locked="0"/>
    </xf>
    <xf numFmtId="43" fontId="22" fillId="0" borderId="0" xfId="8" applyFont="1" applyFill="1" applyAlignment="1" applyProtection="1">
      <alignment horizontal="left" vertical="center"/>
      <protection locked="0"/>
    </xf>
    <xf numFmtId="0" fontId="32" fillId="0" borderId="0" xfId="0" applyFont="1" applyFill="1" applyAlignment="1" applyProtection="1">
      <protection locked="0"/>
    </xf>
    <xf numFmtId="43" fontId="19" fillId="0" borderId="1" xfId="8" applyFont="1" applyFill="1" applyBorder="1" applyAlignment="1" applyProtection="1">
      <alignment horizontal="right" vertical="center" wrapText="1"/>
    </xf>
    <xf numFmtId="43" fontId="19" fillId="0" borderId="1" xfId="8" applyFont="1" applyFill="1" applyBorder="1" applyAlignment="1" applyProtection="1">
      <alignment horizontal="right" vertical="center" wrapText="1"/>
      <protection locked="0"/>
    </xf>
    <xf numFmtId="10" fontId="21" fillId="0" borderId="9" xfId="11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Alignment="1" applyProtection="1">
      <protection locked="0"/>
    </xf>
    <xf numFmtId="0" fontId="14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43" fontId="4" fillId="0" borderId="0" xfId="8" applyFont="1" applyFill="1" applyAlignment="1" applyProtection="1">
      <protection locked="0"/>
    </xf>
    <xf numFmtId="0" fontId="36" fillId="0" borderId="0" xfId="0" applyFont="1" applyFill="1" applyAlignment="1" applyProtection="1">
      <alignment horizontal="center"/>
    </xf>
    <xf numFmtId="43" fontId="36" fillId="0" borderId="0" xfId="8" applyFont="1" applyFill="1" applyAlignment="1" applyProtection="1">
      <alignment horizontal="center"/>
    </xf>
    <xf numFmtId="0" fontId="24" fillId="0" borderId="4" xfId="0" applyFont="1" applyFill="1" applyBorder="1" applyAlignment="1" applyProtection="1">
      <alignment horizontal="center" vertical="center"/>
    </xf>
    <xf numFmtId="43" fontId="24" fillId="0" borderId="4" xfId="8" applyFont="1" applyFill="1" applyBorder="1" applyAlignment="1" applyProtection="1">
      <alignment horizontal="center" vertical="center"/>
    </xf>
    <xf numFmtId="0" fontId="37" fillId="0" borderId="0" xfId="0" applyFont="1" applyFill="1" applyAlignment="1" applyProtection="1">
      <protection locked="0"/>
    </xf>
    <xf numFmtId="177" fontId="38" fillId="0" borderId="5" xfId="0" applyNumberFormat="1" applyFont="1" applyFill="1" applyBorder="1" applyAlignment="1" applyProtection="1">
      <alignment horizontal="center" vertical="center" wrapText="1"/>
    </xf>
    <xf numFmtId="43" fontId="38" fillId="0" borderId="1" xfId="8" applyFont="1" applyFill="1" applyBorder="1" applyAlignment="1" applyProtection="1">
      <alignment horizontal="center" vertical="center" wrapText="1"/>
    </xf>
    <xf numFmtId="177" fontId="38" fillId="0" borderId="7" xfId="0" applyNumberFormat="1" applyFont="1" applyFill="1" applyBorder="1" applyAlignment="1" applyProtection="1">
      <alignment horizontal="center" vertical="center" wrapText="1"/>
    </xf>
    <xf numFmtId="0" fontId="37" fillId="0" borderId="1" xfId="47" applyFont="1" applyFill="1" applyBorder="1" applyAlignment="1" applyProtection="1">
      <alignment horizontal="left" vertical="center"/>
    </xf>
    <xf numFmtId="49" fontId="14" fillId="0" borderId="1" xfId="47" applyNumberFormat="1" applyFont="1" applyFill="1" applyBorder="1" applyAlignment="1" applyProtection="1">
      <alignment horizontal="center" vertical="center"/>
    </xf>
    <xf numFmtId="43" fontId="14" fillId="0" borderId="1" xfId="8" applyFont="1" applyFill="1" applyBorder="1" applyAlignment="1" applyProtection="1">
      <alignment horizontal="center" vertical="center" wrapText="1"/>
    </xf>
    <xf numFmtId="43" fontId="37" fillId="0" borderId="1" xfId="8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177" fontId="37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44" applyFont="1" applyFill="1" applyAlignment="1" applyProtection="1">
      <protection locked="0"/>
    </xf>
    <xf numFmtId="43" fontId="0" fillId="0" borderId="0" xfId="8" applyFont="1" applyFill="1" applyBorder="1" applyAlignment="1" applyProtection="1">
      <protection locked="0"/>
    </xf>
    <xf numFmtId="0" fontId="7" fillId="0" borderId="0" xfId="0" applyFont="1" applyFill="1" applyAlignment="1" applyProtection="1">
      <alignment horizontal="center" vertical="center"/>
    </xf>
    <xf numFmtId="43" fontId="7" fillId="0" borderId="0" xfId="8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43" fontId="0" fillId="0" borderId="0" xfId="8" applyFont="1" applyFill="1" applyAlignment="1" applyProtection="1">
      <alignment horizontal="center" vertical="center"/>
    </xf>
    <xf numFmtId="0" fontId="5" fillId="0" borderId="5" xfId="44" applyFont="1" applyFill="1" applyBorder="1" applyAlignment="1" applyProtection="1">
      <alignment horizontal="center" vertical="center" wrapText="1"/>
    </xf>
    <xf numFmtId="0" fontId="5" fillId="0" borderId="5" xfId="44" applyFont="1" applyFill="1" applyBorder="1" applyAlignment="1" applyProtection="1">
      <alignment horizontal="center" vertical="center"/>
    </xf>
    <xf numFmtId="0" fontId="5" fillId="0" borderId="6" xfId="44" applyFont="1" applyFill="1" applyBorder="1" applyAlignment="1" applyProtection="1">
      <alignment horizontal="center" vertical="center" wrapText="1"/>
    </xf>
    <xf numFmtId="0" fontId="5" fillId="0" borderId="7" xfId="44" applyFont="1" applyFill="1" applyBorder="1" applyAlignment="1" applyProtection="1">
      <alignment horizontal="center" vertical="center"/>
    </xf>
    <xf numFmtId="0" fontId="5" fillId="0" borderId="1" xfId="44" applyFont="1" applyFill="1" applyBorder="1" applyAlignment="1" applyProtection="1">
      <alignment horizontal="left" vertical="center"/>
    </xf>
    <xf numFmtId="0" fontId="4" fillId="0" borderId="1" xfId="44" applyFont="1" applyFill="1" applyBorder="1" applyAlignment="1" applyProtection="1">
      <alignment horizontal="center" vertical="center"/>
    </xf>
    <xf numFmtId="43" fontId="21" fillId="0" borderId="1" xfId="8" applyFont="1" applyFill="1" applyBorder="1" applyAlignment="1" applyProtection="1">
      <alignment horizontal="center" vertical="center" wrapText="1"/>
    </xf>
    <xf numFmtId="0" fontId="5" fillId="0" borderId="1" xfId="44" applyFont="1" applyFill="1" applyBorder="1" applyAlignment="1" applyProtection="1">
      <alignment vertical="center" wrapText="1"/>
    </xf>
    <xf numFmtId="0" fontId="4" fillId="0" borderId="1" xfId="44" applyFont="1" applyFill="1" applyBorder="1" applyProtection="1">
      <alignment vertical="center"/>
    </xf>
    <xf numFmtId="0" fontId="5" fillId="0" borderId="7" xfId="44" applyFont="1" applyFill="1" applyBorder="1" applyAlignment="1" applyProtection="1">
      <alignment horizontal="center" vertical="center" wrapText="1"/>
    </xf>
    <xf numFmtId="0" fontId="5" fillId="0" borderId="1" xfId="44" applyFont="1" applyFill="1" applyBorder="1" applyAlignment="1" applyProtection="1">
      <alignment horizontal="center" vertical="center" wrapText="1"/>
    </xf>
    <xf numFmtId="10" fontId="14" fillId="0" borderId="1" xfId="11" applyNumberFormat="1" applyFont="1" applyFill="1" applyBorder="1" applyAlignment="1" applyProtection="1">
      <alignment horizontal="center" vertical="center" wrapText="1"/>
    </xf>
    <xf numFmtId="180" fontId="0" fillId="0" borderId="0" xfId="11" applyNumberFormat="1" applyFont="1" applyFill="1" applyBorder="1" applyAlignment="1" applyProtection="1">
      <protection locked="0"/>
    </xf>
    <xf numFmtId="0" fontId="39" fillId="0" borderId="0" xfId="0" applyFont="1" applyFill="1" applyProtection="1">
      <alignment vertical="center"/>
      <protection locked="0"/>
    </xf>
    <xf numFmtId="0" fontId="4" fillId="0" borderId="0" xfId="44" applyFont="1" applyFill="1" applyAlignment="1" applyProtection="1">
      <alignment horizontal="center" vertical="center"/>
      <protection locked="0"/>
    </xf>
    <xf numFmtId="49" fontId="5" fillId="0" borderId="1" xfId="44" applyNumberFormat="1" applyFont="1" applyFill="1" applyBorder="1" applyAlignment="1" applyProtection="1">
      <alignment horizontal="center" vertical="center" wrapText="1"/>
    </xf>
    <xf numFmtId="0" fontId="4" fillId="0" borderId="1" xfId="44" applyFont="1" applyFill="1" applyBorder="1" applyAlignment="1" applyProtection="1">
      <alignment horizontal="center" wrapText="1"/>
      <protection locked="0"/>
    </xf>
    <xf numFmtId="0" fontId="4" fillId="0" borderId="0" xfId="44" applyFont="1" applyFill="1" applyAlignment="1" applyProtection="1">
      <protection locked="0"/>
    </xf>
    <xf numFmtId="0" fontId="4" fillId="0" borderId="0" xfId="44" applyFont="1" applyFill="1" applyAlignment="1" applyProtection="1">
      <alignment horizontal="center" wrapText="1"/>
      <protection locked="0"/>
    </xf>
    <xf numFmtId="43" fontId="5" fillId="0" borderId="3" xfId="8" applyFont="1" applyFill="1" applyBorder="1" applyAlignment="1" applyProtection="1">
      <alignment horizontal="center" vertical="center" wrapText="1"/>
    </xf>
    <xf numFmtId="43" fontId="5" fillId="0" borderId="2" xfId="8" applyFont="1" applyFill="1" applyBorder="1" applyAlignment="1" applyProtection="1">
      <alignment horizontal="center" vertical="center" wrapText="1"/>
    </xf>
    <xf numFmtId="10" fontId="14" fillId="0" borderId="3" xfId="11" applyNumberFormat="1" applyFont="1" applyFill="1" applyBorder="1" applyAlignment="1" applyProtection="1">
      <alignment horizontal="center" vertical="center" wrapText="1"/>
    </xf>
    <xf numFmtId="10" fontId="14" fillId="0" borderId="2" xfId="11" applyNumberFormat="1" applyFont="1" applyFill="1" applyBorder="1" applyAlignment="1" applyProtection="1">
      <alignment horizontal="center" vertical="center" wrapText="1"/>
    </xf>
    <xf numFmtId="0" fontId="4" fillId="0" borderId="1" xfId="44" applyFont="1" applyFill="1" applyBorder="1" applyAlignment="1" applyProtection="1">
      <alignment horizontal="center" vertical="center"/>
      <protection locked="0"/>
    </xf>
    <xf numFmtId="10" fontId="37" fillId="0" borderId="3" xfId="11" applyNumberFormat="1" applyFont="1" applyFill="1" applyBorder="1" applyAlignment="1" applyProtection="1">
      <alignment horizontal="center" vertical="center" wrapText="1"/>
    </xf>
    <xf numFmtId="10" fontId="37" fillId="0" borderId="2" xfId="11" applyNumberFormat="1" applyFont="1" applyFill="1" applyBorder="1" applyAlignment="1" applyProtection="1">
      <alignment horizontal="center" vertical="center" wrapText="1"/>
    </xf>
    <xf numFmtId="177" fontId="37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44" applyFont="1" applyFill="1" applyProtection="1">
      <alignment vertical="center"/>
      <protection locked="0"/>
    </xf>
    <xf numFmtId="0" fontId="40" fillId="0" borderId="0" xfId="0" applyFont="1" applyFill="1" applyAlignment="1" applyProtection="1">
      <alignment horizontal="center"/>
      <protection locked="0"/>
    </xf>
    <xf numFmtId="0" fontId="40" fillId="0" borderId="0" xfId="0" applyFont="1" applyFill="1" applyAlignment="1" applyProtection="1">
      <protection locked="0"/>
    </xf>
    <xf numFmtId="0" fontId="41" fillId="0" borderId="0" xfId="0" applyFont="1" applyFill="1" applyProtection="1">
      <alignment vertic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42" fillId="0" borderId="0" xfId="0" applyFont="1" applyFill="1" applyAlignment="1" applyProtection="1">
      <alignment horizontal="center"/>
    </xf>
    <xf numFmtId="0" fontId="43" fillId="0" borderId="0" xfId="0" applyFont="1" applyFill="1" applyAlignment="1" applyProtection="1">
      <alignment horizontal="left" vertical="center"/>
    </xf>
    <xf numFmtId="0" fontId="43" fillId="0" borderId="0" xfId="0" applyFont="1" applyFill="1" applyProtection="1">
      <alignment vertical="center"/>
    </xf>
    <xf numFmtId="43" fontId="43" fillId="0" borderId="0" xfId="8" applyFont="1" applyFill="1" applyAlignment="1" applyProtection="1">
      <alignment horizontal="center" vertical="center"/>
    </xf>
    <xf numFmtId="177" fontId="44" fillId="0" borderId="1" xfId="0" applyNumberFormat="1" applyFont="1" applyFill="1" applyBorder="1" applyAlignment="1" applyProtection="1">
      <alignment horizontal="center" vertical="center" wrapText="1"/>
    </xf>
    <xf numFmtId="43" fontId="43" fillId="0" borderId="1" xfId="8" applyFont="1" applyFill="1" applyBorder="1" applyAlignment="1" applyProtection="1">
      <alignment horizontal="center" vertical="center"/>
    </xf>
    <xf numFmtId="43" fontId="44" fillId="0" borderId="1" xfId="8" applyFont="1" applyFill="1" applyBorder="1" applyAlignment="1" applyProtection="1">
      <alignment horizontal="center" vertical="center" wrapText="1"/>
    </xf>
    <xf numFmtId="43" fontId="43" fillId="0" borderId="1" xfId="8" applyFont="1" applyFill="1" applyBorder="1" applyAlignment="1" applyProtection="1">
      <alignment horizontal="center" vertical="center"/>
      <protection locked="0"/>
    </xf>
    <xf numFmtId="43" fontId="43" fillId="0" borderId="1" xfId="8" applyFont="1" applyFill="1" applyBorder="1" applyAlignment="1" applyProtection="1">
      <alignment horizontal="center" vertical="center" wrapText="1"/>
    </xf>
    <xf numFmtId="177" fontId="45" fillId="0" borderId="3" xfId="0" applyNumberFormat="1" applyFont="1" applyFill="1" applyBorder="1" applyAlignment="1" applyProtection="1">
      <alignment horizontal="center" vertical="center" wrapText="1"/>
    </xf>
    <xf numFmtId="177" fontId="45" fillId="0" borderId="2" xfId="0" applyNumberFormat="1" applyFont="1" applyFill="1" applyBorder="1" applyAlignment="1" applyProtection="1">
      <alignment horizontal="center" vertical="center" wrapText="1"/>
    </xf>
    <xf numFmtId="177" fontId="45" fillId="0" borderId="1" xfId="0" applyNumberFormat="1" applyFont="1" applyFill="1" applyBorder="1" applyAlignment="1" applyProtection="1">
      <alignment horizontal="center" vertical="center" wrapText="1"/>
    </xf>
    <xf numFmtId="0" fontId="43" fillId="0" borderId="1" xfId="0" applyFont="1" applyFill="1" applyBorder="1" applyAlignment="1" applyProtection="1">
      <alignment horizontal="left" vertical="center" wrapText="1"/>
    </xf>
    <xf numFmtId="0" fontId="43" fillId="0" borderId="1" xfId="0" applyFont="1" applyFill="1" applyBorder="1" applyAlignment="1" applyProtection="1">
      <alignment horizontal="center" vertical="center" wrapText="1"/>
    </xf>
    <xf numFmtId="43" fontId="43" fillId="0" borderId="1" xfId="0" applyNumberFormat="1" applyFont="1" applyFill="1" applyBorder="1" applyAlignment="1" applyProtection="1">
      <alignment horizontal="center" vertical="center" wrapText="1"/>
    </xf>
    <xf numFmtId="49" fontId="43" fillId="0" borderId="1" xfId="0" applyNumberFormat="1" applyFont="1" applyFill="1" applyBorder="1" applyAlignment="1" applyProtection="1">
      <alignment horizontal="center" vertical="center" wrapText="1"/>
    </xf>
    <xf numFmtId="10" fontId="43" fillId="0" borderId="1" xfId="11" applyNumberFormat="1" applyFont="1" applyFill="1" applyBorder="1" applyAlignment="1" applyProtection="1">
      <alignment horizontal="center" vertical="center" wrapText="1"/>
    </xf>
    <xf numFmtId="9" fontId="43" fillId="0" borderId="1" xfId="11" applyFont="1" applyFill="1" applyBorder="1" applyAlignment="1" applyProtection="1">
      <alignment horizontal="center" vertical="center" wrapText="1"/>
    </xf>
    <xf numFmtId="43" fontId="43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4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43" fontId="47" fillId="0" borderId="1" xfId="8" applyFont="1" applyFill="1" applyBorder="1" applyAlignment="1" applyProtection="1">
      <alignment horizontal="center" vertical="center" wrapText="1"/>
    </xf>
    <xf numFmtId="0" fontId="46" fillId="0" borderId="0" xfId="0" applyFont="1" applyFill="1" applyAlignment="1" applyProtection="1">
      <protection locked="0"/>
    </xf>
    <xf numFmtId="0" fontId="41" fillId="0" borderId="0" xfId="0" applyFont="1" applyFill="1" applyAlignment="1" applyProtection="1">
      <protection locked="0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49" fontId="52" fillId="0" borderId="0" xfId="0" applyNumberFormat="1" applyFont="1" applyAlignment="1">
      <alignment horizontal="center" vertical="center"/>
    </xf>
    <xf numFmtId="0" fontId="52" fillId="0" borderId="0" xfId="0" applyFont="1">
      <alignment vertical="center"/>
    </xf>
    <xf numFmtId="43" fontId="43" fillId="0" borderId="0" xfId="8" applyFont="1" applyFill="1" applyBorder="1" applyAlignment="1">
      <alignment horizontal="right" vertical="center"/>
    </xf>
    <xf numFmtId="43" fontId="43" fillId="0" borderId="0" xfId="8" applyFont="1" applyFill="1" applyAlignment="1">
      <alignment horizontal="right" vertical="center"/>
    </xf>
    <xf numFmtId="0" fontId="52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49" fontId="53" fillId="0" borderId="1" xfId="0" applyNumberFormat="1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9" fontId="53" fillId="0" borderId="1" xfId="0" applyNumberFormat="1" applyFont="1" applyBorder="1" applyAlignment="1">
      <alignment horizontal="center" vertical="center" wrapText="1"/>
    </xf>
    <xf numFmtId="9" fontId="53" fillId="0" borderId="1" xfId="0" applyNumberFormat="1" applyFont="1" applyBorder="1" applyAlignment="1">
      <alignment vertical="center" wrapText="1"/>
    </xf>
    <xf numFmtId="14" fontId="5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6" fillId="0" borderId="4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55" fillId="0" borderId="1" xfId="10" applyFont="1" applyBorder="1" applyAlignment="1">
      <alignment horizontal="left" vertical="center"/>
    </xf>
    <xf numFmtId="0" fontId="43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4" fillId="0" borderId="0" xfId="0" applyFont="1" applyAlignment="1">
      <alignment vertical="top" wrapText="1"/>
    </xf>
    <xf numFmtId="0" fontId="34" fillId="0" borderId="0" xfId="0" applyFont="1" applyAlignment="1">
      <alignment horizontal="left" vertical="top" wrapText="1"/>
    </xf>
    <xf numFmtId="0" fontId="60" fillId="0" borderId="0" xfId="0" applyFont="1" applyAlignment="1">
      <alignment vertical="center" wrapText="1"/>
    </xf>
    <xf numFmtId="43" fontId="5" fillId="0" borderId="1" xfId="8" applyFont="1" applyFill="1" applyBorder="1" applyAlignment="1" applyProtection="1" quotePrefix="1">
      <alignment horizontal="center" vertical="center" wrapText="1"/>
    </xf>
    <xf numFmtId="49" fontId="5" fillId="0" borderId="1" xfId="44" applyNumberFormat="1" applyFont="1" applyFill="1" applyBorder="1" applyAlignment="1" applyProtection="1" quotePrefix="1">
      <alignment horizontal="center" vertical="center" wrapText="1"/>
    </xf>
    <xf numFmtId="0" fontId="4" fillId="0" borderId="1" xfId="44" applyFont="1" applyFill="1" applyBorder="1" applyAlignment="1" applyProtection="1" quotePrefix="1">
      <alignment horizontal="center" vertical="center"/>
    </xf>
    <xf numFmtId="43" fontId="5" fillId="0" borderId="3" xfId="8" applyFont="1" applyFill="1" applyBorder="1" applyAlignment="1" applyProtection="1" quotePrefix="1">
      <alignment horizontal="center" vertical="center" wrapText="1"/>
    </xf>
    <xf numFmtId="43" fontId="38" fillId="0" borderId="1" xfId="8" applyFont="1" applyFill="1" applyBorder="1" applyAlignment="1" applyProtection="1" quotePrefix="1">
      <alignment horizontal="center" vertical="center" wrapText="1"/>
    </xf>
    <xf numFmtId="49" fontId="14" fillId="0" borderId="1" xfId="47" applyNumberFormat="1" applyFont="1" applyFill="1" applyBorder="1" applyAlignment="1" applyProtection="1" quotePrefix="1">
      <alignment horizontal="center" vertical="center"/>
    </xf>
    <xf numFmtId="43" fontId="17" fillId="0" borderId="1" xfId="8" applyFont="1" applyFill="1" applyBorder="1" applyAlignment="1" applyProtection="1" quotePrefix="1">
      <alignment horizontal="center" vertical="center" wrapText="1"/>
    </xf>
    <xf numFmtId="49" fontId="17" fillId="0" borderId="1" xfId="0" applyNumberFormat="1" applyFont="1" applyFill="1" applyBorder="1" applyAlignment="1" applyProtection="1" quotePrefix="1">
      <alignment horizontal="center" vertical="center" wrapText="1"/>
    </xf>
    <xf numFmtId="180" fontId="17" fillId="0" borderId="1" xfId="11" applyNumberFormat="1" applyFont="1" applyFill="1" applyBorder="1" applyAlignment="1" applyProtection="1" quotePrefix="1">
      <alignment horizontal="center" vertical="center" wrapText="1"/>
    </xf>
    <xf numFmtId="0" fontId="17" fillId="0" borderId="1" xfId="8" applyNumberFormat="1" applyFont="1" applyFill="1" applyBorder="1" applyAlignment="1" quotePrefix="1">
      <alignment horizontal="center" vertical="center" wrapText="1"/>
    </xf>
    <xf numFmtId="43" fontId="16" fillId="0" borderId="1" xfId="8" applyFont="1" applyFill="1" applyBorder="1" applyAlignment="1" applyProtection="1" quotePrefix="1">
      <alignment horizontal="center" vertical="center" wrapText="1"/>
    </xf>
    <xf numFmtId="49" fontId="5" fillId="0" borderId="1" xfId="51" applyNumberFormat="1" applyFont="1" applyFill="1" applyBorder="1" applyAlignment="1" quotePrefix="1">
      <alignment horizontal="center" vertical="center" wrapText="1"/>
    </xf>
    <xf numFmtId="49" fontId="5" fillId="0" borderId="1" xfId="8" applyNumberFormat="1" applyFont="1" applyFill="1" applyBorder="1" applyAlignment="1" applyProtection="1" quotePrefix="1">
      <alignment horizontal="center" vertical="center" wrapText="1"/>
    </xf>
    <xf numFmtId="10" fontId="5" fillId="0" borderId="1" xfId="11" applyNumberFormat="1" applyFont="1" applyFill="1" applyBorder="1" applyAlignment="1" applyProtection="1" quotePrefix="1">
      <alignment horizontal="center" vertical="center" wrapText="1"/>
    </xf>
    <xf numFmtId="49" fontId="13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常规_南甸苑销售台账" xfId="47"/>
    <cellStyle name="强调文字颜色 6" xfId="48" builtinId="49"/>
    <cellStyle name="40% - 强调文字颜色 6" xfId="49" builtinId="51"/>
    <cellStyle name="60% - 强调文字颜色 6" xfId="50" builtinId="52"/>
    <cellStyle name="常规_广东省土地增值税清算申报表及附表" xfId="51"/>
  </cellStyles>
  <tableStyles count="0" defaultTableStyle="TableStyleMedium2" defaultPivotStyle="PivotStyleLight16"/>
  <colors>
    <mruColors>
      <color rgb="00232323"/>
      <color rgb="005B9BD5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zoomScale="120" zoomScaleNormal="120" workbookViewId="0">
      <selection activeCell="L7" sqref="L7"/>
    </sheetView>
  </sheetViews>
  <sheetFormatPr defaultColWidth="9" defaultRowHeight="14.25"/>
  <cols>
    <col min="1" max="1" width="23.5" customWidth="1"/>
    <col min="6" max="6" width="9" customWidth="1"/>
    <col min="7" max="7" width="12.875" customWidth="1"/>
  </cols>
  <sheetData>
    <row r="1" ht="22.5" spans="1:11">
      <c r="A1" s="349" t="s">
        <v>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ht="21" spans="1:7">
      <c r="A2" s="351"/>
      <c r="B2" s="351"/>
      <c r="C2" s="351"/>
      <c r="D2" s="351"/>
      <c r="E2" s="351"/>
      <c r="F2" s="351"/>
      <c r="G2" s="351"/>
    </row>
    <row r="3" spans="1:7">
      <c r="A3" s="341"/>
      <c r="B3" s="341"/>
      <c r="C3" s="341"/>
      <c r="D3" s="341"/>
      <c r="E3" s="341"/>
      <c r="F3" s="341"/>
      <c r="G3" s="341"/>
    </row>
    <row r="4" ht="24.95" customHeight="1" spans="1:15">
      <c r="A4" s="348" t="s">
        <v>1</v>
      </c>
      <c r="B4" s="347" t="s">
        <v>2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</row>
    <row r="5" ht="39.75" customHeight="1" spans="1:15">
      <c r="A5" s="352" t="s">
        <v>3</v>
      </c>
      <c r="B5" s="353" t="s">
        <v>4</v>
      </c>
      <c r="C5" s="353"/>
      <c r="D5" s="353"/>
      <c r="E5" s="353"/>
      <c r="F5" s="353"/>
      <c r="G5" s="353"/>
      <c r="H5" s="353"/>
      <c r="I5" s="353"/>
      <c r="J5" s="353"/>
      <c r="K5" s="353"/>
      <c r="L5" s="347"/>
      <c r="M5" s="347"/>
      <c r="N5" s="347"/>
      <c r="O5" s="347"/>
    </row>
    <row r="6" ht="24.95" customHeight="1" spans="1:15">
      <c r="A6" s="348" t="s">
        <v>5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47"/>
      <c r="M6" s="347"/>
      <c r="N6" s="347"/>
      <c r="O6" s="347"/>
    </row>
    <row r="7" ht="24.95" customHeight="1" spans="1:15">
      <c r="A7" s="347" t="s">
        <v>6</v>
      </c>
      <c r="B7" s="354"/>
      <c r="C7" s="354"/>
      <c r="D7" s="354"/>
      <c r="E7" s="354"/>
      <c r="F7" s="354"/>
      <c r="G7" s="354"/>
      <c r="H7" s="354"/>
      <c r="I7" s="354"/>
      <c r="J7" s="354"/>
      <c r="K7" s="347"/>
      <c r="L7" s="347"/>
      <c r="M7" s="347"/>
      <c r="N7" s="347"/>
      <c r="O7" s="347"/>
    </row>
    <row r="8" ht="24.95" customHeight="1" spans="1:15">
      <c r="A8" s="347" t="s">
        <v>7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</row>
    <row r="9" ht="24.95" customHeight="1" spans="1:15">
      <c r="A9" s="347"/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</row>
    <row r="10" spans="1:15">
      <c r="A10" s="355" t="s">
        <v>8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47"/>
      <c r="M10" s="347"/>
      <c r="N10" s="347"/>
      <c r="O10" s="347"/>
    </row>
    <row r="11" spans="1:15">
      <c r="A11" s="347"/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</row>
    <row r="12" spans="1:15">
      <c r="A12" s="347"/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</row>
    <row r="13" spans="1:15">
      <c r="A13" s="347"/>
      <c r="B13" s="347"/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</row>
    <row r="14" spans="1:15">
      <c r="A14" s="347"/>
      <c r="B14" s="347"/>
      <c r="C14" s="347" t="s">
        <v>9</v>
      </c>
      <c r="D14" s="347"/>
      <c r="E14" s="347"/>
      <c r="F14" s="356" t="s">
        <v>10</v>
      </c>
      <c r="G14" s="356"/>
      <c r="H14" s="347"/>
      <c r="I14" s="347"/>
      <c r="J14" s="347"/>
      <c r="K14" s="347"/>
      <c r="L14" s="347"/>
      <c r="M14" s="347"/>
      <c r="N14" s="347"/>
      <c r="O14" s="347"/>
    </row>
    <row r="17" spans="1:4">
      <c r="A17" t="s">
        <v>11</v>
      </c>
      <c r="D17" s="357" t="s">
        <v>12</v>
      </c>
    </row>
    <row r="18" spans="4:10">
      <c r="D18" s="357"/>
      <c r="I18" s="357"/>
      <c r="J18" s="359"/>
    </row>
    <row r="19" spans="4:10">
      <c r="D19" s="357"/>
      <c r="I19" s="357"/>
      <c r="J19" s="359"/>
    </row>
    <row r="20" spans="1:10">
      <c r="A20" s="358" t="s">
        <v>13</v>
      </c>
      <c r="B20" s="358"/>
      <c r="D20" s="358" t="s">
        <v>14</v>
      </c>
      <c r="E20" s="358"/>
      <c r="F20" s="358"/>
      <c r="I20" s="357"/>
      <c r="J20" s="359"/>
    </row>
    <row r="21" spans="4:10">
      <c r="D21" s="357"/>
      <c r="I21" s="357"/>
      <c r="J21" s="359"/>
    </row>
    <row r="22" spans="4:10">
      <c r="D22" s="357"/>
      <c r="I22" s="357"/>
      <c r="J22" s="359"/>
    </row>
    <row r="23" spans="9:10">
      <c r="I23" s="357"/>
      <c r="J23" s="359"/>
    </row>
    <row r="24" spans="1:7">
      <c r="A24" s="357" t="s">
        <v>15</v>
      </c>
      <c r="D24" s="358" t="s">
        <v>16</v>
      </c>
      <c r="E24" s="358"/>
      <c r="F24" s="358"/>
      <c r="G24" s="358"/>
    </row>
  </sheetData>
  <mergeCells count="8">
    <mergeCell ref="A1:K1"/>
    <mergeCell ref="B5:K5"/>
    <mergeCell ref="B6:K6"/>
    <mergeCell ref="A10:K10"/>
    <mergeCell ref="F14:G14"/>
    <mergeCell ref="A20:B20"/>
    <mergeCell ref="D20:F20"/>
    <mergeCell ref="D24:G24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44"/>
  <sheetViews>
    <sheetView tabSelected="1" workbookViewId="0">
      <selection activeCell="A1" sqref="$A1:$XFD1048576"/>
    </sheetView>
  </sheetViews>
  <sheetFormatPr defaultColWidth="5.625" defaultRowHeight="13.5"/>
  <cols>
    <col min="1" max="1" width="8.875" style="108" customWidth="1"/>
    <col min="2" max="2" width="5.5" style="109" customWidth="1"/>
    <col min="3" max="3" width="5.875" style="110" customWidth="1"/>
    <col min="4" max="4" width="5.875" style="108" customWidth="1"/>
    <col min="5" max="5" width="5.125" style="109" customWidth="1"/>
    <col min="6" max="6" width="15.5" style="108" customWidth="1"/>
    <col min="7" max="7" width="9.375" style="108" customWidth="1"/>
    <col min="8" max="8" width="8.625" style="108" customWidth="1"/>
    <col min="9" max="9" width="10.5" style="108" customWidth="1"/>
    <col min="10" max="10" width="14.75" style="108" customWidth="1"/>
    <col min="11" max="11" width="12.125" style="108" customWidth="1"/>
    <col min="12" max="12" width="12" style="111" customWidth="1"/>
    <col min="13" max="13" width="13.125" style="108" customWidth="1"/>
    <col min="14" max="17" width="17.75" style="111" customWidth="1"/>
    <col min="18" max="18" width="5.625" style="108" customWidth="1"/>
    <col min="19" max="20" width="9.875" style="108" customWidth="1"/>
    <col min="21" max="22" width="9.875" style="111" customWidth="1"/>
    <col min="23" max="23" width="12" style="111" customWidth="1"/>
    <col min="24" max="24" width="18.125" style="111" customWidth="1"/>
    <col min="25" max="25" width="18" style="111" customWidth="1"/>
    <col min="26" max="26" width="8" style="108" customWidth="1"/>
    <col min="27" max="27" width="5.625" style="112" customWidth="1"/>
    <col min="28" max="16384" width="5.625" style="112"/>
  </cols>
  <sheetData>
    <row r="1" ht="21" spans="1:26">
      <c r="A1" s="113" t="str">
        <f>目录!A10&amp;目录!B10</f>
        <v>T22100附表6-收入明细采集底稿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="104" customFormat="1" ht="15" spans="1:26">
      <c r="A2" s="114" t="str">
        <f>土地增值税税源明细表!F5&amp;"："&amp;土地增值税税源明细表!H5&amp;"          "&amp;土地增值税税源明细表!A5&amp;"："&amp;土地增值税税源明细表!B5&amp;"          "&amp;"金额单位:人民币元(列至角分)"</f>
        <v>项目编码：          项目名称：          金额单位:人民币元(列至角分)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="105" customFormat="1" ht="24" spans="1:26">
      <c r="A3" s="115" t="s">
        <v>67</v>
      </c>
      <c r="B3" s="116" t="s">
        <v>290</v>
      </c>
      <c r="C3" s="116" t="s">
        <v>291</v>
      </c>
      <c r="D3" s="115" t="s">
        <v>292</v>
      </c>
      <c r="E3" s="116" t="s">
        <v>293</v>
      </c>
      <c r="F3" s="115" t="s">
        <v>74</v>
      </c>
      <c r="G3" s="115" t="s">
        <v>294</v>
      </c>
      <c r="H3" s="115" t="s">
        <v>295</v>
      </c>
      <c r="I3" s="125" t="s">
        <v>296</v>
      </c>
      <c r="J3" s="115" t="s">
        <v>297</v>
      </c>
      <c r="K3" s="125" t="s">
        <v>298</v>
      </c>
      <c r="L3" s="126" t="s">
        <v>299</v>
      </c>
      <c r="M3" s="115" t="s">
        <v>300</v>
      </c>
      <c r="N3" s="126" t="s">
        <v>301</v>
      </c>
      <c r="O3" s="126" t="s">
        <v>302</v>
      </c>
      <c r="P3" s="126" t="s">
        <v>303</v>
      </c>
      <c r="Q3" s="126" t="s">
        <v>304</v>
      </c>
      <c r="R3" s="115" t="s">
        <v>305</v>
      </c>
      <c r="S3" s="115" t="s">
        <v>306</v>
      </c>
      <c r="T3" s="115" t="s">
        <v>307</v>
      </c>
      <c r="U3" s="115" t="s">
        <v>308</v>
      </c>
      <c r="V3" s="115" t="s">
        <v>309</v>
      </c>
      <c r="W3" s="126" t="s">
        <v>310</v>
      </c>
      <c r="X3" s="132" t="s">
        <v>311</v>
      </c>
      <c r="Y3" s="126" t="s">
        <v>312</v>
      </c>
      <c r="Z3" s="115" t="s">
        <v>313</v>
      </c>
    </row>
    <row r="4" s="106" customFormat="1" ht="12" spans="1:26">
      <c r="A4" s="117"/>
      <c r="B4" s="79" t="s">
        <v>314</v>
      </c>
      <c r="C4" s="79" t="s">
        <v>314</v>
      </c>
      <c r="D4" s="79" t="s">
        <v>314</v>
      </c>
      <c r="E4" s="79" t="s">
        <v>314</v>
      </c>
      <c r="F4" s="79" t="s">
        <v>314</v>
      </c>
      <c r="G4" s="79" t="s">
        <v>314</v>
      </c>
      <c r="H4" s="79" t="s">
        <v>314</v>
      </c>
      <c r="I4" s="79" t="s">
        <v>314</v>
      </c>
      <c r="J4" s="79" t="s">
        <v>314</v>
      </c>
      <c r="K4" s="79" t="s">
        <v>314</v>
      </c>
      <c r="L4" s="88">
        <f>SUM(L$6:L$1048576)</f>
        <v>0</v>
      </c>
      <c r="M4" s="79" t="s">
        <v>314</v>
      </c>
      <c r="N4" s="88">
        <f>SUM(N$6:N$1048576)</f>
        <v>0</v>
      </c>
      <c r="O4" s="88">
        <f>SUM(O$6:O$1048576)</f>
        <v>0</v>
      </c>
      <c r="P4" s="88">
        <f>SUM(P$6:P$1048576)</f>
        <v>0</v>
      </c>
      <c r="Q4" s="88">
        <f>SUM(Q$6:Q$1048576)</f>
        <v>0</v>
      </c>
      <c r="R4" s="79" t="s">
        <v>314</v>
      </c>
      <c r="S4" s="79" t="s">
        <v>314</v>
      </c>
      <c r="T4" s="79" t="s">
        <v>314</v>
      </c>
      <c r="U4" s="88">
        <f>SUM(U$6:U$1048576)</f>
        <v>0</v>
      </c>
      <c r="V4" s="88">
        <f>SUM(V$6:V$1048576)</f>
        <v>0</v>
      </c>
      <c r="W4" s="88">
        <f>SUM(W$6:W$1048576)</f>
        <v>0</v>
      </c>
      <c r="X4" s="88">
        <f>SUM(X$6:X$1048576)</f>
        <v>0</v>
      </c>
      <c r="Y4" s="133" t="str">
        <f>IF(SUMIFS(X$6:X$1048576,H$6:H$1048576,"已售")=0,"*",ROUND(SUMIFS(X$6:X$1048576,H$6:H$1048576,"已售")/SUMIFS(P$6:P$1048576,H$6:H$1048576,"已售"),2))</f>
        <v>*</v>
      </c>
      <c r="Z4" s="79" t="s">
        <v>314</v>
      </c>
    </row>
    <row r="5" s="106" customFormat="1" ht="12" spans="1:26">
      <c r="A5" s="117"/>
      <c r="B5" s="79" t="s">
        <v>314</v>
      </c>
      <c r="C5" s="79" t="s">
        <v>314</v>
      </c>
      <c r="D5" s="79" t="s">
        <v>314</v>
      </c>
      <c r="E5" s="79" t="s">
        <v>314</v>
      </c>
      <c r="F5" s="79" t="s">
        <v>314</v>
      </c>
      <c r="G5" s="79" t="s">
        <v>314</v>
      </c>
      <c r="H5" s="79" t="s">
        <v>314</v>
      </c>
      <c r="I5" s="79" t="s">
        <v>314</v>
      </c>
      <c r="J5" s="79" t="s">
        <v>314</v>
      </c>
      <c r="K5" s="79" t="s">
        <v>314</v>
      </c>
      <c r="L5" s="88">
        <f>SUBTOTAL(9,L$6:L$1048576)</f>
        <v>0</v>
      </c>
      <c r="M5" s="79" t="s">
        <v>314</v>
      </c>
      <c r="N5" s="88">
        <f>SUBTOTAL(9,N$6:N$1048576)</f>
        <v>0</v>
      </c>
      <c r="O5" s="88">
        <f>SUBTOTAL(9,O$6:O$1048576)</f>
        <v>0</v>
      </c>
      <c r="P5" s="88">
        <f>SUBTOTAL(9,P$6:P$1048576)</f>
        <v>0</v>
      </c>
      <c r="Q5" s="88">
        <f>SUBTOTAL(9,Q$6:Q$1048576)</f>
        <v>0</v>
      </c>
      <c r="R5" s="79" t="s">
        <v>314</v>
      </c>
      <c r="S5" s="79" t="s">
        <v>314</v>
      </c>
      <c r="T5" s="79" t="s">
        <v>314</v>
      </c>
      <c r="U5" s="88">
        <f>SUBTOTAL(9,U$6:U$1048576)</f>
        <v>0</v>
      </c>
      <c r="V5" s="88">
        <f>SUBTOTAL(9,V$6:V$1048576)</f>
        <v>0</v>
      </c>
      <c r="W5" s="88">
        <f>SUBTOTAL(9,W$6:W$1048576)</f>
        <v>0</v>
      </c>
      <c r="X5" s="88">
        <f>SUBTOTAL(9,X$6:X$1048576)</f>
        <v>0</v>
      </c>
      <c r="Y5" s="133" t="str">
        <f>IF(AND(SUBTOTAL(3,K$6:K$1048576)=SUBTOTAL(3,P$6:P$1048576),SUBTOTAL(9,P$6:P$1048576)&lt;&gt;0),ROUND(SUBTOTAL(9,X$6:X$1048576)/SUBTOTAL(9,P$6:P$1048576),2),"*")</f>
        <v>*</v>
      </c>
      <c r="Z5" s="79" t="s">
        <v>314</v>
      </c>
    </row>
    <row r="6" s="107" customFormat="1" ht="12" spans="1:26">
      <c r="A6" s="118"/>
      <c r="B6" s="119"/>
      <c r="C6" s="119"/>
      <c r="D6" s="118"/>
      <c r="E6" s="119"/>
      <c r="F6" s="119"/>
      <c r="G6" s="118"/>
      <c r="H6" s="118"/>
      <c r="I6" s="118"/>
      <c r="J6" s="119"/>
      <c r="K6" s="127"/>
      <c r="L6" s="128"/>
      <c r="M6" s="118"/>
      <c r="N6" s="128"/>
      <c r="O6" s="128"/>
      <c r="P6" s="129"/>
      <c r="Q6" s="129"/>
      <c r="R6" s="120"/>
      <c r="S6" s="121"/>
      <c r="T6" s="121"/>
      <c r="U6" s="129"/>
      <c r="V6" s="129"/>
      <c r="W6" s="129">
        <f t="shared" ref="W6:W14" si="0">U6+V6</f>
        <v>0</v>
      </c>
      <c r="X6" s="129"/>
      <c r="Y6" s="129" t="str">
        <f t="shared" ref="Y6:Y14" si="1">IF(P6=0,"",ROUND(X6/P6,2))</f>
        <v/>
      </c>
      <c r="Z6" s="120"/>
    </row>
    <row r="7" s="107" customFormat="1" ht="12" spans="1:26">
      <c r="A7" s="118"/>
      <c r="B7" s="119"/>
      <c r="C7" s="119"/>
      <c r="D7" s="118"/>
      <c r="E7" s="119"/>
      <c r="F7" s="119"/>
      <c r="G7" s="118"/>
      <c r="H7" s="118"/>
      <c r="I7" s="118"/>
      <c r="J7" s="119"/>
      <c r="K7" s="127"/>
      <c r="L7" s="128"/>
      <c r="M7" s="118"/>
      <c r="N7" s="128"/>
      <c r="O7" s="128"/>
      <c r="P7" s="129"/>
      <c r="Q7" s="129"/>
      <c r="R7" s="120"/>
      <c r="S7" s="121"/>
      <c r="T7" s="121"/>
      <c r="U7" s="129"/>
      <c r="V7" s="129"/>
      <c r="W7" s="129">
        <f t="shared" si="0"/>
        <v>0</v>
      </c>
      <c r="X7" s="129"/>
      <c r="Y7" s="129" t="str">
        <f t="shared" si="1"/>
        <v/>
      </c>
      <c r="Z7" s="120"/>
    </row>
    <row r="8" s="104" customFormat="1" ht="12" spans="1:26">
      <c r="A8" s="118"/>
      <c r="B8" s="119"/>
      <c r="C8" s="119"/>
      <c r="D8" s="119"/>
      <c r="E8" s="119"/>
      <c r="F8" s="119"/>
      <c r="G8" s="118"/>
      <c r="H8" s="118"/>
      <c r="I8" s="118"/>
      <c r="J8" s="119"/>
      <c r="K8" s="127"/>
      <c r="L8" s="128"/>
      <c r="M8" s="118"/>
      <c r="N8" s="128"/>
      <c r="O8" s="128"/>
      <c r="P8" s="129"/>
      <c r="Q8" s="129"/>
      <c r="R8" s="120"/>
      <c r="S8" s="121"/>
      <c r="T8" s="121"/>
      <c r="U8" s="129"/>
      <c r="V8" s="129"/>
      <c r="W8" s="129">
        <f t="shared" si="0"/>
        <v>0</v>
      </c>
      <c r="X8" s="129"/>
      <c r="Y8" s="129" t="str">
        <f t="shared" si="1"/>
        <v/>
      </c>
      <c r="Z8" s="120"/>
    </row>
    <row r="9" s="104" customFormat="1" ht="12" spans="1:26">
      <c r="A9" s="118"/>
      <c r="B9" s="119"/>
      <c r="C9" s="119"/>
      <c r="D9" s="118"/>
      <c r="E9" s="119"/>
      <c r="F9" s="119"/>
      <c r="G9" s="118"/>
      <c r="H9" s="118"/>
      <c r="I9" s="118"/>
      <c r="J9" s="119"/>
      <c r="K9" s="127"/>
      <c r="L9" s="128"/>
      <c r="M9" s="118"/>
      <c r="N9" s="128"/>
      <c r="O9" s="128"/>
      <c r="P9" s="129"/>
      <c r="Q9" s="129"/>
      <c r="R9" s="120"/>
      <c r="S9" s="121"/>
      <c r="T9" s="121"/>
      <c r="U9" s="129"/>
      <c r="V9" s="129"/>
      <c r="W9" s="129">
        <f t="shared" si="0"/>
        <v>0</v>
      </c>
      <c r="X9" s="129"/>
      <c r="Y9" s="129" t="str">
        <f t="shared" si="1"/>
        <v/>
      </c>
      <c r="Z9" s="120"/>
    </row>
    <row r="10" s="104" customFormat="1" ht="12" spans="1:26">
      <c r="A10" s="118"/>
      <c r="B10" s="119"/>
      <c r="C10" s="119"/>
      <c r="D10" s="118"/>
      <c r="E10" s="119"/>
      <c r="F10" s="119"/>
      <c r="G10" s="118"/>
      <c r="H10" s="118"/>
      <c r="I10" s="118"/>
      <c r="J10" s="119"/>
      <c r="K10" s="127"/>
      <c r="L10" s="128"/>
      <c r="M10" s="118"/>
      <c r="N10" s="128"/>
      <c r="O10" s="128"/>
      <c r="P10" s="129"/>
      <c r="Q10" s="129"/>
      <c r="R10" s="120"/>
      <c r="S10" s="121"/>
      <c r="T10" s="121"/>
      <c r="U10" s="129"/>
      <c r="V10" s="129"/>
      <c r="W10" s="129">
        <f t="shared" si="0"/>
        <v>0</v>
      </c>
      <c r="X10" s="129"/>
      <c r="Y10" s="129" t="str">
        <f t="shared" si="1"/>
        <v/>
      </c>
      <c r="Z10" s="120"/>
    </row>
    <row r="11" s="104" customFormat="1" ht="12" spans="1:26">
      <c r="A11" s="118"/>
      <c r="B11" s="119"/>
      <c r="C11" s="119"/>
      <c r="D11" s="118"/>
      <c r="E11" s="119"/>
      <c r="F11" s="119"/>
      <c r="G11" s="118"/>
      <c r="H11" s="118"/>
      <c r="I11" s="118"/>
      <c r="J11" s="119"/>
      <c r="K11" s="127"/>
      <c r="L11" s="128"/>
      <c r="M11" s="118"/>
      <c r="N11" s="128"/>
      <c r="O11" s="128"/>
      <c r="P11" s="129"/>
      <c r="Q11" s="129"/>
      <c r="R11" s="120"/>
      <c r="S11" s="121"/>
      <c r="T11" s="121"/>
      <c r="U11" s="129"/>
      <c r="V11" s="129"/>
      <c r="W11" s="129">
        <f t="shared" si="0"/>
        <v>0</v>
      </c>
      <c r="X11" s="129"/>
      <c r="Y11" s="129" t="str">
        <f t="shared" si="1"/>
        <v/>
      </c>
      <c r="Z11" s="120"/>
    </row>
    <row r="12" s="104" customFormat="1" ht="12" spans="1:26">
      <c r="A12" s="118"/>
      <c r="B12" s="119"/>
      <c r="C12" s="119"/>
      <c r="D12" s="118"/>
      <c r="E12" s="119"/>
      <c r="F12" s="119"/>
      <c r="G12" s="118"/>
      <c r="H12" s="118"/>
      <c r="I12" s="118"/>
      <c r="J12" s="119"/>
      <c r="K12" s="127"/>
      <c r="L12" s="128"/>
      <c r="M12" s="118"/>
      <c r="N12" s="128"/>
      <c r="O12" s="128"/>
      <c r="P12" s="129"/>
      <c r="Q12" s="129"/>
      <c r="R12" s="120"/>
      <c r="S12" s="121"/>
      <c r="T12" s="121"/>
      <c r="U12" s="129"/>
      <c r="V12" s="129"/>
      <c r="W12" s="129">
        <f t="shared" si="0"/>
        <v>0</v>
      </c>
      <c r="X12" s="129"/>
      <c r="Y12" s="129" t="str">
        <f t="shared" si="1"/>
        <v/>
      </c>
      <c r="Z12" s="120"/>
    </row>
    <row r="13" s="104" customFormat="1" ht="12" spans="1:26">
      <c r="A13" s="118"/>
      <c r="B13" s="119"/>
      <c r="C13" s="119"/>
      <c r="D13" s="118"/>
      <c r="E13" s="119"/>
      <c r="F13" s="119"/>
      <c r="G13" s="118"/>
      <c r="H13" s="118"/>
      <c r="I13" s="118"/>
      <c r="J13" s="119"/>
      <c r="K13" s="127"/>
      <c r="L13" s="128"/>
      <c r="M13" s="118"/>
      <c r="N13" s="128"/>
      <c r="O13" s="128"/>
      <c r="P13" s="129"/>
      <c r="Q13" s="129"/>
      <c r="R13" s="120"/>
      <c r="S13" s="121"/>
      <c r="T13" s="121"/>
      <c r="U13" s="129"/>
      <c r="V13" s="129"/>
      <c r="W13" s="129">
        <f t="shared" si="0"/>
        <v>0</v>
      </c>
      <c r="X13" s="129"/>
      <c r="Y13" s="129" t="str">
        <f t="shared" si="1"/>
        <v/>
      </c>
      <c r="Z13" s="120"/>
    </row>
    <row r="14" s="104" customFormat="1" ht="12" spans="1:26">
      <c r="A14" s="118"/>
      <c r="B14" s="119"/>
      <c r="C14" s="119"/>
      <c r="D14" s="118"/>
      <c r="E14" s="119"/>
      <c r="F14" s="119"/>
      <c r="G14" s="118"/>
      <c r="H14" s="118"/>
      <c r="I14" s="118"/>
      <c r="J14" s="119"/>
      <c r="K14" s="127"/>
      <c r="L14" s="128"/>
      <c r="M14" s="118"/>
      <c r="N14" s="128"/>
      <c r="O14" s="128"/>
      <c r="P14" s="129"/>
      <c r="Q14" s="129"/>
      <c r="R14" s="120"/>
      <c r="S14" s="121"/>
      <c r="T14" s="121"/>
      <c r="U14" s="129"/>
      <c r="V14" s="129"/>
      <c r="W14" s="129">
        <f t="shared" si="0"/>
        <v>0</v>
      </c>
      <c r="X14" s="129"/>
      <c r="Y14" s="129" t="str">
        <f t="shared" si="1"/>
        <v/>
      </c>
      <c r="Z14" s="120"/>
    </row>
    <row r="15" s="104" customFormat="1" ht="12" spans="1:26">
      <c r="A15" s="118"/>
      <c r="B15" s="119"/>
      <c r="C15" s="119"/>
      <c r="D15" s="118"/>
      <c r="E15" s="119"/>
      <c r="F15" s="119"/>
      <c r="G15" s="118"/>
      <c r="H15" s="118"/>
      <c r="I15" s="118"/>
      <c r="J15" s="119"/>
      <c r="K15" s="127"/>
      <c r="L15" s="128"/>
      <c r="M15" s="118"/>
      <c r="N15" s="128"/>
      <c r="O15" s="128"/>
      <c r="P15" s="129"/>
      <c r="Q15" s="129"/>
      <c r="R15" s="120"/>
      <c r="S15" s="121"/>
      <c r="T15" s="121"/>
      <c r="U15" s="129"/>
      <c r="V15" s="129"/>
      <c r="W15" s="129">
        <f t="shared" ref="W15:W22" si="2">U15+V15</f>
        <v>0</v>
      </c>
      <c r="X15" s="129"/>
      <c r="Y15" s="129" t="str">
        <f t="shared" ref="Y15:Y40" si="3">IF(P15=0,"",ROUND(X15/P15,2))</f>
        <v/>
      </c>
      <c r="Z15" s="120"/>
    </row>
    <row r="16" s="104" customFormat="1" ht="12" spans="1:26">
      <c r="A16" s="118"/>
      <c r="B16" s="119"/>
      <c r="C16" s="119"/>
      <c r="D16" s="118"/>
      <c r="E16" s="119"/>
      <c r="F16" s="119"/>
      <c r="G16" s="118"/>
      <c r="H16" s="118"/>
      <c r="I16" s="118"/>
      <c r="J16" s="119"/>
      <c r="K16" s="127"/>
      <c r="L16" s="128"/>
      <c r="M16" s="118"/>
      <c r="N16" s="128"/>
      <c r="O16" s="128"/>
      <c r="P16" s="129"/>
      <c r="Q16" s="129"/>
      <c r="R16" s="120"/>
      <c r="S16" s="121"/>
      <c r="T16" s="121"/>
      <c r="U16" s="129"/>
      <c r="V16" s="129"/>
      <c r="W16" s="129">
        <f t="shared" si="2"/>
        <v>0</v>
      </c>
      <c r="X16" s="129"/>
      <c r="Y16" s="129" t="str">
        <f t="shared" si="3"/>
        <v/>
      </c>
      <c r="Z16" s="120"/>
    </row>
    <row r="17" s="104" customFormat="1" ht="12" spans="1:26">
      <c r="A17" s="120"/>
      <c r="B17" s="121"/>
      <c r="C17" s="121"/>
      <c r="D17" s="120"/>
      <c r="E17" s="121"/>
      <c r="F17" s="121"/>
      <c r="G17" s="118"/>
      <c r="H17" s="120"/>
      <c r="I17" s="120"/>
      <c r="J17" s="121"/>
      <c r="K17" s="130"/>
      <c r="L17" s="129"/>
      <c r="M17" s="120"/>
      <c r="N17" s="129"/>
      <c r="O17" s="129"/>
      <c r="P17" s="129"/>
      <c r="Q17" s="129"/>
      <c r="R17" s="120"/>
      <c r="S17" s="121"/>
      <c r="T17" s="121"/>
      <c r="U17" s="129"/>
      <c r="V17" s="129"/>
      <c r="W17" s="129">
        <f t="shared" si="2"/>
        <v>0</v>
      </c>
      <c r="X17" s="129"/>
      <c r="Y17" s="129" t="str">
        <f t="shared" si="3"/>
        <v/>
      </c>
      <c r="Z17" s="120"/>
    </row>
    <row r="18" s="104" customFormat="1" ht="12" spans="1:26">
      <c r="A18" s="120"/>
      <c r="B18" s="121"/>
      <c r="C18" s="121"/>
      <c r="D18" s="120"/>
      <c r="E18" s="121"/>
      <c r="F18" s="121"/>
      <c r="G18" s="118"/>
      <c r="H18" s="120"/>
      <c r="I18" s="120"/>
      <c r="J18" s="121"/>
      <c r="K18" s="130"/>
      <c r="L18" s="129"/>
      <c r="M18" s="120"/>
      <c r="N18" s="129"/>
      <c r="O18" s="129"/>
      <c r="P18" s="129"/>
      <c r="Q18" s="129"/>
      <c r="R18" s="120"/>
      <c r="S18" s="121"/>
      <c r="T18" s="121"/>
      <c r="U18" s="129"/>
      <c r="V18" s="129"/>
      <c r="W18" s="129">
        <f t="shared" si="2"/>
        <v>0</v>
      </c>
      <c r="X18" s="129"/>
      <c r="Y18" s="129" t="str">
        <f t="shared" si="3"/>
        <v/>
      </c>
      <c r="Z18" s="120"/>
    </row>
    <row r="19" s="104" customFormat="1" ht="12" spans="1:26">
      <c r="A19" s="120"/>
      <c r="B19" s="121"/>
      <c r="C19" s="121"/>
      <c r="D19" s="120"/>
      <c r="E19" s="121"/>
      <c r="F19" s="121"/>
      <c r="G19" s="118"/>
      <c r="H19" s="120"/>
      <c r="I19" s="120"/>
      <c r="J19" s="121"/>
      <c r="K19" s="130"/>
      <c r="L19" s="129"/>
      <c r="M19" s="120"/>
      <c r="N19" s="129"/>
      <c r="O19" s="129"/>
      <c r="P19" s="129"/>
      <c r="Q19" s="129"/>
      <c r="R19" s="120"/>
      <c r="S19" s="121"/>
      <c r="T19" s="121"/>
      <c r="U19" s="129"/>
      <c r="V19" s="129"/>
      <c r="W19" s="129">
        <f t="shared" si="2"/>
        <v>0</v>
      </c>
      <c r="X19" s="129"/>
      <c r="Y19" s="129" t="str">
        <f t="shared" si="3"/>
        <v/>
      </c>
      <c r="Z19" s="120"/>
    </row>
    <row r="20" s="104" customFormat="1" ht="12" spans="1:26">
      <c r="A20" s="120"/>
      <c r="B20" s="121"/>
      <c r="C20" s="121"/>
      <c r="D20" s="120"/>
      <c r="E20" s="121"/>
      <c r="F20" s="121"/>
      <c r="G20" s="118"/>
      <c r="H20" s="120"/>
      <c r="I20" s="120"/>
      <c r="J20" s="121"/>
      <c r="K20" s="130"/>
      <c r="L20" s="129"/>
      <c r="M20" s="120"/>
      <c r="N20" s="129"/>
      <c r="O20" s="129"/>
      <c r="P20" s="129"/>
      <c r="Q20" s="129"/>
      <c r="R20" s="120"/>
      <c r="S20" s="121"/>
      <c r="T20" s="121"/>
      <c r="U20" s="129"/>
      <c r="V20" s="129"/>
      <c r="W20" s="129">
        <f t="shared" si="2"/>
        <v>0</v>
      </c>
      <c r="X20" s="129"/>
      <c r="Y20" s="129" t="str">
        <f t="shared" si="3"/>
        <v/>
      </c>
      <c r="Z20" s="120"/>
    </row>
    <row r="21" s="104" customFormat="1" ht="12" spans="1:26">
      <c r="A21" s="120"/>
      <c r="B21" s="121"/>
      <c r="C21" s="121"/>
      <c r="D21" s="120"/>
      <c r="E21" s="121"/>
      <c r="F21" s="121"/>
      <c r="G21" s="118"/>
      <c r="H21" s="120"/>
      <c r="I21" s="120"/>
      <c r="J21" s="121"/>
      <c r="K21" s="130"/>
      <c r="L21" s="129"/>
      <c r="M21" s="120"/>
      <c r="N21" s="129"/>
      <c r="O21" s="129"/>
      <c r="P21" s="129"/>
      <c r="Q21" s="129"/>
      <c r="R21" s="120"/>
      <c r="S21" s="121"/>
      <c r="T21" s="121"/>
      <c r="U21" s="129"/>
      <c r="V21" s="129"/>
      <c r="W21" s="129">
        <f t="shared" si="2"/>
        <v>0</v>
      </c>
      <c r="X21" s="129"/>
      <c r="Y21" s="129" t="str">
        <f t="shared" si="3"/>
        <v/>
      </c>
      <c r="Z21" s="120"/>
    </row>
    <row r="22" s="104" customFormat="1" ht="12" spans="1:26">
      <c r="A22" s="120"/>
      <c r="B22" s="121"/>
      <c r="C22" s="121"/>
      <c r="D22" s="120"/>
      <c r="E22" s="121"/>
      <c r="F22" s="121"/>
      <c r="G22" s="118"/>
      <c r="H22" s="120"/>
      <c r="I22" s="120"/>
      <c r="J22" s="121"/>
      <c r="K22" s="130"/>
      <c r="L22" s="129"/>
      <c r="M22" s="120"/>
      <c r="N22" s="129"/>
      <c r="O22" s="129"/>
      <c r="P22" s="129"/>
      <c r="Q22" s="129"/>
      <c r="R22" s="120"/>
      <c r="S22" s="121"/>
      <c r="T22" s="121"/>
      <c r="U22" s="129"/>
      <c r="V22" s="129"/>
      <c r="W22" s="129">
        <f t="shared" si="2"/>
        <v>0</v>
      </c>
      <c r="X22" s="129"/>
      <c r="Y22" s="129" t="str">
        <f t="shared" si="3"/>
        <v/>
      </c>
      <c r="Z22" s="120"/>
    </row>
    <row r="23" s="104" customFormat="1" ht="12" spans="1:26">
      <c r="A23" s="120"/>
      <c r="B23" s="121"/>
      <c r="C23" s="121"/>
      <c r="D23" s="120"/>
      <c r="E23" s="121"/>
      <c r="F23" s="121"/>
      <c r="G23" s="118"/>
      <c r="H23" s="120"/>
      <c r="I23" s="120"/>
      <c r="J23" s="121"/>
      <c r="K23" s="130"/>
      <c r="L23" s="129"/>
      <c r="M23" s="120"/>
      <c r="N23" s="129"/>
      <c r="O23" s="129"/>
      <c r="P23" s="129"/>
      <c r="Q23" s="129"/>
      <c r="R23" s="120"/>
      <c r="S23" s="121"/>
      <c r="T23" s="121"/>
      <c r="U23" s="129"/>
      <c r="V23" s="129"/>
      <c r="W23" s="129">
        <f t="shared" ref="W23:W40" si="4">U23+V23</f>
        <v>0</v>
      </c>
      <c r="X23" s="129"/>
      <c r="Y23" s="129" t="str">
        <f t="shared" si="3"/>
        <v/>
      </c>
      <c r="Z23" s="120"/>
    </row>
    <row r="24" s="104" customFormat="1" ht="12" spans="1:26">
      <c r="A24" s="120"/>
      <c r="B24" s="121"/>
      <c r="C24" s="121"/>
      <c r="D24" s="120"/>
      <c r="E24" s="121"/>
      <c r="F24" s="121"/>
      <c r="G24" s="118"/>
      <c r="H24" s="120"/>
      <c r="I24" s="120"/>
      <c r="J24" s="121"/>
      <c r="K24" s="130"/>
      <c r="L24" s="129"/>
      <c r="M24" s="120"/>
      <c r="N24" s="129"/>
      <c r="O24" s="129"/>
      <c r="P24" s="129"/>
      <c r="Q24" s="129"/>
      <c r="R24" s="120"/>
      <c r="S24" s="121"/>
      <c r="T24" s="121"/>
      <c r="U24" s="129"/>
      <c r="V24" s="129"/>
      <c r="W24" s="129">
        <f t="shared" si="4"/>
        <v>0</v>
      </c>
      <c r="X24" s="129"/>
      <c r="Y24" s="129" t="str">
        <f t="shared" si="3"/>
        <v/>
      </c>
      <c r="Z24" s="120"/>
    </row>
    <row r="25" s="104" customFormat="1" ht="12" spans="1:26">
      <c r="A25" s="120"/>
      <c r="B25" s="121"/>
      <c r="C25" s="121"/>
      <c r="D25" s="120"/>
      <c r="E25" s="121"/>
      <c r="F25" s="121"/>
      <c r="G25" s="118"/>
      <c r="H25" s="120"/>
      <c r="I25" s="120"/>
      <c r="J25" s="121"/>
      <c r="K25" s="130"/>
      <c r="L25" s="129"/>
      <c r="M25" s="120"/>
      <c r="N25" s="129"/>
      <c r="O25" s="129"/>
      <c r="P25" s="129"/>
      <c r="Q25" s="129"/>
      <c r="R25" s="120"/>
      <c r="S25" s="121"/>
      <c r="T25" s="121"/>
      <c r="U25" s="129"/>
      <c r="V25" s="129"/>
      <c r="W25" s="129">
        <f t="shared" si="4"/>
        <v>0</v>
      </c>
      <c r="X25" s="129"/>
      <c r="Y25" s="129" t="str">
        <f t="shared" si="3"/>
        <v/>
      </c>
      <c r="Z25" s="120"/>
    </row>
    <row r="26" s="104" customFormat="1" ht="12" spans="1:26">
      <c r="A26" s="120"/>
      <c r="B26" s="121"/>
      <c r="C26" s="121"/>
      <c r="D26" s="120"/>
      <c r="E26" s="121"/>
      <c r="F26" s="121"/>
      <c r="G26" s="118"/>
      <c r="H26" s="120"/>
      <c r="I26" s="120"/>
      <c r="J26" s="121"/>
      <c r="K26" s="130"/>
      <c r="L26" s="129"/>
      <c r="M26" s="120"/>
      <c r="N26" s="129"/>
      <c r="O26" s="129"/>
      <c r="P26" s="129"/>
      <c r="Q26" s="129"/>
      <c r="R26" s="120"/>
      <c r="S26" s="121"/>
      <c r="T26" s="121"/>
      <c r="U26" s="129"/>
      <c r="V26" s="129"/>
      <c r="W26" s="129">
        <f t="shared" si="4"/>
        <v>0</v>
      </c>
      <c r="X26" s="129"/>
      <c r="Y26" s="129" t="str">
        <f t="shared" si="3"/>
        <v/>
      </c>
      <c r="Z26" s="120"/>
    </row>
    <row r="27" s="104" customFormat="1" ht="12" spans="1:26">
      <c r="A27" s="120"/>
      <c r="B27" s="121"/>
      <c r="C27" s="121"/>
      <c r="D27" s="120"/>
      <c r="E27" s="121"/>
      <c r="F27" s="121"/>
      <c r="G27" s="118"/>
      <c r="H27" s="120"/>
      <c r="I27" s="120"/>
      <c r="J27" s="121"/>
      <c r="K27" s="130"/>
      <c r="L27" s="129"/>
      <c r="M27" s="120"/>
      <c r="N27" s="129"/>
      <c r="O27" s="129"/>
      <c r="P27" s="129"/>
      <c r="Q27" s="129"/>
      <c r="R27" s="120"/>
      <c r="S27" s="121"/>
      <c r="T27" s="121"/>
      <c r="U27" s="129"/>
      <c r="V27" s="129"/>
      <c r="W27" s="129">
        <f t="shared" si="4"/>
        <v>0</v>
      </c>
      <c r="X27" s="129"/>
      <c r="Y27" s="129" t="str">
        <f t="shared" si="3"/>
        <v/>
      </c>
      <c r="Z27" s="120"/>
    </row>
    <row r="28" s="104" customFormat="1" ht="12" spans="1:26">
      <c r="A28" s="120"/>
      <c r="B28" s="121"/>
      <c r="C28" s="121"/>
      <c r="D28" s="120"/>
      <c r="E28" s="121"/>
      <c r="F28" s="121"/>
      <c r="G28" s="118"/>
      <c r="H28" s="120"/>
      <c r="I28" s="120"/>
      <c r="J28" s="121"/>
      <c r="K28" s="130"/>
      <c r="L28" s="129"/>
      <c r="M28" s="120"/>
      <c r="N28" s="129"/>
      <c r="O28" s="129"/>
      <c r="P28" s="129"/>
      <c r="Q28" s="129"/>
      <c r="R28" s="120"/>
      <c r="S28" s="121"/>
      <c r="T28" s="121"/>
      <c r="U28" s="129"/>
      <c r="V28" s="129"/>
      <c r="W28" s="129">
        <f t="shared" si="4"/>
        <v>0</v>
      </c>
      <c r="X28" s="129"/>
      <c r="Y28" s="129" t="str">
        <f t="shared" si="3"/>
        <v/>
      </c>
      <c r="Z28" s="120"/>
    </row>
    <row r="29" s="104" customFormat="1" ht="12" spans="1:26">
      <c r="A29" s="120"/>
      <c r="B29" s="121"/>
      <c r="C29" s="121"/>
      <c r="D29" s="120"/>
      <c r="E29" s="121"/>
      <c r="F29" s="121"/>
      <c r="G29" s="118"/>
      <c r="H29" s="120"/>
      <c r="I29" s="120"/>
      <c r="J29" s="121"/>
      <c r="K29" s="130"/>
      <c r="L29" s="129"/>
      <c r="M29" s="120"/>
      <c r="N29" s="129"/>
      <c r="O29" s="129"/>
      <c r="P29" s="129"/>
      <c r="Q29" s="129"/>
      <c r="R29" s="120"/>
      <c r="S29" s="121"/>
      <c r="T29" s="121"/>
      <c r="U29" s="129"/>
      <c r="V29" s="129"/>
      <c r="W29" s="129">
        <f t="shared" si="4"/>
        <v>0</v>
      </c>
      <c r="X29" s="129"/>
      <c r="Y29" s="129" t="str">
        <f t="shared" si="3"/>
        <v/>
      </c>
      <c r="Z29" s="120"/>
    </row>
    <row r="30" s="104" customFormat="1" ht="12" spans="1:26">
      <c r="A30" s="120"/>
      <c r="B30" s="121"/>
      <c r="C30" s="121"/>
      <c r="D30" s="120"/>
      <c r="E30" s="121"/>
      <c r="F30" s="121"/>
      <c r="G30" s="118"/>
      <c r="H30" s="120"/>
      <c r="I30" s="120"/>
      <c r="J30" s="121"/>
      <c r="K30" s="130"/>
      <c r="L30" s="129"/>
      <c r="M30" s="120"/>
      <c r="N30" s="129"/>
      <c r="O30" s="129"/>
      <c r="P30" s="129"/>
      <c r="Q30" s="129"/>
      <c r="R30" s="120"/>
      <c r="S30" s="121"/>
      <c r="T30" s="121"/>
      <c r="U30" s="129"/>
      <c r="V30" s="129"/>
      <c r="W30" s="129">
        <f t="shared" si="4"/>
        <v>0</v>
      </c>
      <c r="X30" s="129"/>
      <c r="Y30" s="129" t="str">
        <f t="shared" si="3"/>
        <v/>
      </c>
      <c r="Z30" s="120"/>
    </row>
    <row r="31" s="104" customFormat="1" ht="12" spans="1:26">
      <c r="A31" s="120"/>
      <c r="B31" s="121"/>
      <c r="C31" s="121"/>
      <c r="D31" s="120"/>
      <c r="E31" s="121"/>
      <c r="F31" s="121"/>
      <c r="G31" s="118"/>
      <c r="H31" s="120"/>
      <c r="I31" s="120"/>
      <c r="J31" s="121"/>
      <c r="K31" s="130"/>
      <c r="L31" s="129"/>
      <c r="M31" s="120"/>
      <c r="N31" s="129"/>
      <c r="O31" s="129"/>
      <c r="P31" s="129"/>
      <c r="Q31" s="129"/>
      <c r="R31" s="120"/>
      <c r="S31" s="121"/>
      <c r="T31" s="121"/>
      <c r="U31" s="129"/>
      <c r="V31" s="129"/>
      <c r="W31" s="129">
        <f t="shared" si="4"/>
        <v>0</v>
      </c>
      <c r="X31" s="129"/>
      <c r="Y31" s="129" t="str">
        <f t="shared" si="3"/>
        <v/>
      </c>
      <c r="Z31" s="120"/>
    </row>
    <row r="32" s="104" customFormat="1" ht="12" spans="1:26">
      <c r="A32" s="120"/>
      <c r="B32" s="121"/>
      <c r="C32" s="121"/>
      <c r="D32" s="120"/>
      <c r="E32" s="121"/>
      <c r="F32" s="121"/>
      <c r="G32" s="118"/>
      <c r="H32" s="120"/>
      <c r="I32" s="120"/>
      <c r="J32" s="121"/>
      <c r="K32" s="130"/>
      <c r="L32" s="129"/>
      <c r="M32" s="120"/>
      <c r="N32" s="129"/>
      <c r="O32" s="129"/>
      <c r="P32" s="129"/>
      <c r="Q32" s="129"/>
      <c r="R32" s="120"/>
      <c r="S32" s="121"/>
      <c r="T32" s="121"/>
      <c r="U32" s="129"/>
      <c r="V32" s="129"/>
      <c r="W32" s="129">
        <f t="shared" si="4"/>
        <v>0</v>
      </c>
      <c r="X32" s="129"/>
      <c r="Y32" s="129" t="str">
        <f t="shared" si="3"/>
        <v/>
      </c>
      <c r="Z32" s="120"/>
    </row>
    <row r="33" s="104" customFormat="1" ht="12" spans="1:26">
      <c r="A33" s="120"/>
      <c r="B33" s="121"/>
      <c r="C33" s="121"/>
      <c r="D33" s="120"/>
      <c r="E33" s="121"/>
      <c r="F33" s="121"/>
      <c r="G33" s="118"/>
      <c r="H33" s="120"/>
      <c r="I33" s="120"/>
      <c r="J33" s="121"/>
      <c r="K33" s="130"/>
      <c r="L33" s="129"/>
      <c r="M33" s="120"/>
      <c r="N33" s="129"/>
      <c r="O33" s="129"/>
      <c r="P33" s="129"/>
      <c r="Q33" s="129"/>
      <c r="R33" s="120"/>
      <c r="S33" s="121"/>
      <c r="T33" s="121"/>
      <c r="U33" s="129"/>
      <c r="V33" s="129"/>
      <c r="W33" s="129">
        <f t="shared" si="4"/>
        <v>0</v>
      </c>
      <c r="X33" s="129"/>
      <c r="Y33" s="129" t="str">
        <f t="shared" si="3"/>
        <v/>
      </c>
      <c r="Z33" s="120"/>
    </row>
    <row r="34" s="104" customFormat="1" ht="12" spans="1:26">
      <c r="A34" s="120"/>
      <c r="B34" s="121"/>
      <c r="C34" s="121"/>
      <c r="D34" s="120"/>
      <c r="E34" s="121"/>
      <c r="F34" s="121"/>
      <c r="G34" s="118"/>
      <c r="H34" s="120"/>
      <c r="I34" s="120"/>
      <c r="J34" s="121"/>
      <c r="K34" s="130"/>
      <c r="L34" s="129"/>
      <c r="M34" s="120"/>
      <c r="N34" s="129"/>
      <c r="O34" s="129"/>
      <c r="P34" s="129"/>
      <c r="Q34" s="129"/>
      <c r="R34" s="120"/>
      <c r="S34" s="121"/>
      <c r="T34" s="121"/>
      <c r="U34" s="129"/>
      <c r="V34" s="129"/>
      <c r="W34" s="129">
        <f t="shared" si="4"/>
        <v>0</v>
      </c>
      <c r="X34" s="129"/>
      <c r="Y34" s="129" t="str">
        <f t="shared" si="3"/>
        <v/>
      </c>
      <c r="Z34" s="120"/>
    </row>
    <row r="35" s="104" customFormat="1" ht="12" spans="1:26">
      <c r="A35" s="120"/>
      <c r="B35" s="121"/>
      <c r="C35" s="121"/>
      <c r="D35" s="120"/>
      <c r="E35" s="121"/>
      <c r="F35" s="121"/>
      <c r="G35" s="118"/>
      <c r="H35" s="120"/>
      <c r="I35" s="120"/>
      <c r="J35" s="121"/>
      <c r="K35" s="130"/>
      <c r="L35" s="129"/>
      <c r="M35" s="120"/>
      <c r="N35" s="129"/>
      <c r="O35" s="129"/>
      <c r="P35" s="129"/>
      <c r="Q35" s="129"/>
      <c r="R35" s="120"/>
      <c r="S35" s="121"/>
      <c r="T35" s="121"/>
      <c r="U35" s="129"/>
      <c r="V35" s="129"/>
      <c r="W35" s="129">
        <f t="shared" si="4"/>
        <v>0</v>
      </c>
      <c r="X35" s="129"/>
      <c r="Y35" s="129" t="str">
        <f t="shared" si="3"/>
        <v/>
      </c>
      <c r="Z35" s="120"/>
    </row>
    <row r="36" s="104" customFormat="1" ht="12" spans="1:26">
      <c r="A36" s="120"/>
      <c r="B36" s="121"/>
      <c r="C36" s="121"/>
      <c r="D36" s="120"/>
      <c r="E36" s="121"/>
      <c r="F36" s="121"/>
      <c r="G36" s="118"/>
      <c r="H36" s="120"/>
      <c r="I36" s="120"/>
      <c r="J36" s="121"/>
      <c r="K36" s="130"/>
      <c r="L36" s="129"/>
      <c r="M36" s="120"/>
      <c r="N36" s="129"/>
      <c r="O36" s="129"/>
      <c r="P36" s="129"/>
      <c r="Q36" s="129"/>
      <c r="R36" s="120"/>
      <c r="S36" s="121"/>
      <c r="T36" s="121"/>
      <c r="U36" s="129"/>
      <c r="V36" s="129"/>
      <c r="W36" s="129">
        <f t="shared" si="4"/>
        <v>0</v>
      </c>
      <c r="X36" s="129"/>
      <c r="Y36" s="129" t="str">
        <f t="shared" si="3"/>
        <v/>
      </c>
      <c r="Z36" s="120"/>
    </row>
    <row r="37" s="104" customFormat="1" ht="12" spans="1:26">
      <c r="A37" s="120"/>
      <c r="B37" s="121"/>
      <c r="C37" s="121"/>
      <c r="D37" s="120"/>
      <c r="E37" s="121"/>
      <c r="F37" s="121"/>
      <c r="G37" s="118"/>
      <c r="H37" s="120"/>
      <c r="I37" s="120"/>
      <c r="J37" s="121"/>
      <c r="K37" s="130"/>
      <c r="L37" s="129"/>
      <c r="M37" s="120"/>
      <c r="N37" s="129"/>
      <c r="O37" s="129"/>
      <c r="P37" s="129"/>
      <c r="Q37" s="129"/>
      <c r="R37" s="120"/>
      <c r="S37" s="121"/>
      <c r="T37" s="121"/>
      <c r="U37" s="129"/>
      <c r="V37" s="129"/>
      <c r="W37" s="129">
        <f t="shared" si="4"/>
        <v>0</v>
      </c>
      <c r="X37" s="129"/>
      <c r="Y37" s="129" t="str">
        <f t="shared" si="3"/>
        <v/>
      </c>
      <c r="Z37" s="120"/>
    </row>
    <row r="38" s="104" customFormat="1" ht="12" spans="1:26">
      <c r="A38" s="120"/>
      <c r="B38" s="121"/>
      <c r="C38" s="121"/>
      <c r="D38" s="120"/>
      <c r="E38" s="121"/>
      <c r="F38" s="121"/>
      <c r="G38" s="118"/>
      <c r="H38" s="120"/>
      <c r="I38" s="120"/>
      <c r="J38" s="121"/>
      <c r="K38" s="130"/>
      <c r="L38" s="129"/>
      <c r="M38" s="120"/>
      <c r="N38" s="129"/>
      <c r="O38" s="129"/>
      <c r="P38" s="129"/>
      <c r="Q38" s="129"/>
      <c r="R38" s="120"/>
      <c r="S38" s="121"/>
      <c r="T38" s="121"/>
      <c r="U38" s="129"/>
      <c r="V38" s="129"/>
      <c r="W38" s="129">
        <f t="shared" si="4"/>
        <v>0</v>
      </c>
      <c r="X38" s="129"/>
      <c r="Y38" s="129" t="str">
        <f t="shared" si="3"/>
        <v/>
      </c>
      <c r="Z38" s="120"/>
    </row>
    <row r="39" s="104" customFormat="1" ht="12" spans="1:26">
      <c r="A39" s="120"/>
      <c r="B39" s="121"/>
      <c r="C39" s="121"/>
      <c r="D39" s="120"/>
      <c r="E39" s="121"/>
      <c r="F39" s="121"/>
      <c r="G39" s="118"/>
      <c r="H39" s="120"/>
      <c r="I39" s="120"/>
      <c r="J39" s="121"/>
      <c r="K39" s="130"/>
      <c r="L39" s="129"/>
      <c r="M39" s="120"/>
      <c r="N39" s="129"/>
      <c r="O39" s="129"/>
      <c r="P39" s="129"/>
      <c r="Q39" s="129"/>
      <c r="R39" s="120"/>
      <c r="S39" s="121"/>
      <c r="T39" s="121"/>
      <c r="U39" s="129"/>
      <c r="V39" s="129"/>
      <c r="W39" s="129">
        <f t="shared" si="4"/>
        <v>0</v>
      </c>
      <c r="X39" s="129"/>
      <c r="Y39" s="129" t="str">
        <f t="shared" si="3"/>
        <v/>
      </c>
      <c r="Z39" s="120"/>
    </row>
    <row r="40" s="104" customFormat="1" ht="12" spans="1:26">
      <c r="A40" s="120"/>
      <c r="B40" s="121"/>
      <c r="C40" s="121"/>
      <c r="D40" s="120"/>
      <c r="E40" s="121"/>
      <c r="F40" s="121"/>
      <c r="G40" s="118"/>
      <c r="H40" s="120"/>
      <c r="I40" s="120"/>
      <c r="J40" s="121"/>
      <c r="K40" s="130"/>
      <c r="L40" s="129"/>
      <c r="M40" s="120"/>
      <c r="N40" s="129"/>
      <c r="O40" s="129"/>
      <c r="P40" s="129"/>
      <c r="Q40" s="129"/>
      <c r="R40" s="120"/>
      <c r="S40" s="121"/>
      <c r="T40" s="121"/>
      <c r="U40" s="129"/>
      <c r="V40" s="129"/>
      <c r="W40" s="129">
        <f t="shared" si="4"/>
        <v>0</v>
      </c>
      <c r="X40" s="129"/>
      <c r="Y40" s="129" t="str">
        <f t="shared" si="3"/>
        <v/>
      </c>
      <c r="Z40" s="120"/>
    </row>
    <row r="41" s="104" customFormat="1" ht="12" spans="1:26">
      <c r="A41" s="122"/>
      <c r="B41" s="123"/>
      <c r="C41" s="124"/>
      <c r="D41" s="122"/>
      <c r="E41" s="123"/>
      <c r="F41" s="122"/>
      <c r="G41" s="122"/>
      <c r="H41" s="122"/>
      <c r="I41" s="122"/>
      <c r="J41" s="122"/>
      <c r="K41" s="122"/>
      <c r="L41" s="131"/>
      <c r="M41" s="122"/>
      <c r="N41" s="131"/>
      <c r="O41" s="131"/>
      <c r="P41" s="131"/>
      <c r="Q41" s="131"/>
      <c r="R41" s="122"/>
      <c r="S41" s="122"/>
      <c r="T41" s="122"/>
      <c r="U41" s="131"/>
      <c r="V41" s="131"/>
      <c r="W41" s="131"/>
      <c r="X41" s="131"/>
      <c r="Y41" s="131"/>
      <c r="Z41" s="122"/>
    </row>
    <row r="42" s="104" customFormat="1" ht="12" spans="1:26">
      <c r="A42" s="122"/>
      <c r="B42" s="123"/>
      <c r="C42" s="124"/>
      <c r="D42" s="122"/>
      <c r="E42" s="123"/>
      <c r="F42" s="122"/>
      <c r="G42" s="122"/>
      <c r="H42" s="122"/>
      <c r="I42" s="122"/>
      <c r="J42" s="122"/>
      <c r="K42" s="122"/>
      <c r="L42" s="131"/>
      <c r="M42" s="122"/>
      <c r="N42" s="131"/>
      <c r="O42" s="131"/>
      <c r="P42" s="131"/>
      <c r="Q42" s="131"/>
      <c r="R42" s="122"/>
      <c r="S42" s="122"/>
      <c r="T42" s="122"/>
      <c r="U42" s="131"/>
      <c r="V42" s="131"/>
      <c r="W42" s="131"/>
      <c r="X42" s="131"/>
      <c r="Y42" s="131"/>
      <c r="Z42" s="122"/>
    </row>
    <row r="43" s="104" customFormat="1" ht="12" spans="1:26">
      <c r="A43" s="122"/>
      <c r="B43" s="123"/>
      <c r="C43" s="124"/>
      <c r="D43" s="122"/>
      <c r="E43" s="123"/>
      <c r="F43" s="122"/>
      <c r="G43" s="122"/>
      <c r="H43" s="122"/>
      <c r="I43" s="122"/>
      <c r="J43" s="122"/>
      <c r="K43" s="122"/>
      <c r="L43" s="131"/>
      <c r="M43" s="122"/>
      <c r="N43" s="131"/>
      <c r="O43" s="131"/>
      <c r="P43" s="131"/>
      <c r="Q43" s="131"/>
      <c r="R43" s="122"/>
      <c r="S43" s="122"/>
      <c r="T43" s="122"/>
      <c r="U43" s="131"/>
      <c r="V43" s="131"/>
      <c r="W43" s="131"/>
      <c r="X43" s="131"/>
      <c r="Y43" s="131"/>
      <c r="Z43" s="122"/>
    </row>
    <row r="44" s="104" customFormat="1" ht="12" spans="1:26">
      <c r="A44" s="122"/>
      <c r="B44" s="123"/>
      <c r="C44" s="124"/>
      <c r="D44" s="122"/>
      <c r="E44" s="123"/>
      <c r="F44" s="122"/>
      <c r="G44" s="122"/>
      <c r="H44" s="122"/>
      <c r="I44" s="122"/>
      <c r="J44" s="122"/>
      <c r="K44" s="122"/>
      <c r="L44" s="131"/>
      <c r="M44" s="122"/>
      <c r="N44" s="131"/>
      <c r="O44" s="131"/>
      <c r="P44" s="131"/>
      <c r="Q44" s="131"/>
      <c r="R44" s="122"/>
      <c r="S44" s="122"/>
      <c r="T44" s="122"/>
      <c r="U44" s="131"/>
      <c r="V44" s="131"/>
      <c r="W44" s="131"/>
      <c r="X44" s="131"/>
      <c r="Y44" s="131"/>
      <c r="Z44" s="122"/>
    </row>
  </sheetData>
  <sheetProtection formatCells="0" formatColumns="0" formatRows="0" insertRows="0" insertColumns="0" insertHyperlinks="0" deleteColumns="0" deleteRows="0" sort="0" autoFilter="0" pivotTables="0"/>
  <mergeCells count="2">
    <mergeCell ref="A1:Z1"/>
    <mergeCell ref="A2:Z2"/>
  </mergeCells>
  <dataValidations count="5">
    <dataValidation type="list" allowBlank="1" showInputMessage="1" showErrorMessage="1" sqref="G6:G1048576">
      <formula1>OFFSET(数据对照表!$A$2,,,COUNTA(数据对照表!A:A)-1,1)</formula1>
    </dataValidation>
    <dataValidation type="list" allowBlank="1" showInputMessage="1" showErrorMessage="1" sqref="H6:H1048576">
      <formula1>"已售,未售,自用,出租,不可售"</formula1>
    </dataValidation>
    <dataValidation type="list" allowBlank="1" showInputMessage="1" showErrorMessage="1" sqref="I6:I1048576">
      <formula1>"货币收入,实物及其他收入,视同销售收入"</formula1>
    </dataValidation>
    <dataValidation allowBlank="1" showInputMessage="1" showErrorMessage="1" sqref="R1:R3 G1:I3"/>
    <dataValidation type="list" allowBlank="1" showInputMessage="1" showErrorMessage="1" sqref="R6:R1048576">
      <formula1>"东,南,西,北,东南,西南,东北,西北"</formula1>
    </dataValidation>
  </dataValidations>
  <printOptions horizontalCentered="1"/>
  <pageMargins left="0.747916666666667" right="0.354166666666667" top="0.984027777777778" bottom="0.984027777777778" header="0.511805555555556" footer="0.511805555555556"/>
  <pageSetup paperSize="9" scale="42" fitToHeight="0" orientation="landscape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D28"/>
  <sheetViews>
    <sheetView workbookViewId="0">
      <selection activeCell="A1" sqref="$A1:$XFD1048576"/>
    </sheetView>
  </sheetViews>
  <sheetFormatPr defaultColWidth="4.875" defaultRowHeight="14.25"/>
  <cols>
    <col min="1" max="1" width="7.875" style="69" customWidth="1"/>
    <col min="2" max="2" width="8.625" style="70" customWidth="1"/>
    <col min="3" max="3" width="12.125" style="70" customWidth="1"/>
    <col min="4" max="4" width="8.625" style="70" customWidth="1"/>
    <col min="5" max="5" width="12.125" style="70" customWidth="1"/>
    <col min="6" max="9" width="7.875" style="70" customWidth="1"/>
    <col min="10" max="11" width="8.625" style="70" customWidth="1"/>
    <col min="12" max="12" width="7.875" style="71" customWidth="1"/>
    <col min="13" max="13" width="7.875" style="70" customWidth="1"/>
    <col min="14" max="16" width="8.625" style="72" customWidth="1"/>
    <col min="17" max="17" width="11.375" style="72" customWidth="1"/>
    <col min="18" max="18" width="17.5" style="72" customWidth="1"/>
    <col min="19" max="19" width="15" style="73" customWidth="1"/>
    <col min="20" max="20" width="13.875" style="72" customWidth="1"/>
    <col min="21" max="21" width="7.875" style="70" customWidth="1"/>
    <col min="22" max="22" width="13.75" style="70" customWidth="1"/>
    <col min="23" max="23" width="15.75" style="74" customWidth="1"/>
    <col min="24" max="24" width="17.5" style="74" customWidth="1"/>
    <col min="25" max="25" width="19.25" style="74" customWidth="1"/>
    <col min="26" max="26" width="13.25" style="70" customWidth="1"/>
    <col min="27" max="27" width="11.375" style="70" customWidth="1"/>
    <col min="28" max="28" width="13.875" style="69" customWidth="1"/>
    <col min="29" max="16384" width="4.875" style="70"/>
  </cols>
  <sheetData>
    <row r="1" ht="21" spans="1:238">
      <c r="A1" s="75" t="str">
        <f>目录!A11&amp;目录!B11</f>
        <v>T23210附表7-扣除项目明细采集底稿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8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</row>
    <row r="2" s="65" customFormat="1" ht="13.5" spans="1:238">
      <c r="A2" s="76" t="str">
        <f>土地增值税税源明细表!F5&amp;"："&amp;土地增值税税源明细表!H5&amp;"          "&amp;土地增值税税源明细表!A5&amp;"："&amp;土地增值税税源明细表!B5&amp;"          "&amp;"金额单位:人民币元(列至角分)"</f>
        <v>项目编码：          项目名称：          金额单位:人民币元(列至角分)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8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</row>
    <row r="3" s="66" customFormat="1" ht="30" customHeight="1" spans="1:238">
      <c r="A3" s="77" t="s">
        <v>67</v>
      </c>
      <c r="B3" s="77" t="s">
        <v>315</v>
      </c>
      <c r="C3" s="77" t="s">
        <v>316</v>
      </c>
      <c r="D3" s="77" t="s">
        <v>317</v>
      </c>
      <c r="E3" s="78" t="s">
        <v>318</v>
      </c>
      <c r="F3" s="77" t="s">
        <v>319</v>
      </c>
      <c r="G3" s="77" t="s">
        <v>320</v>
      </c>
      <c r="H3" s="77" t="s">
        <v>321</v>
      </c>
      <c r="I3" s="77" t="s">
        <v>322</v>
      </c>
      <c r="J3" s="77" t="s">
        <v>323</v>
      </c>
      <c r="K3" s="77" t="s">
        <v>324</v>
      </c>
      <c r="L3" s="77" t="s">
        <v>325</v>
      </c>
      <c r="M3" s="77" t="s">
        <v>326</v>
      </c>
      <c r="N3" s="87" t="s">
        <v>327</v>
      </c>
      <c r="O3" s="87" t="s">
        <v>328</v>
      </c>
      <c r="P3" s="87" t="s">
        <v>329</v>
      </c>
      <c r="Q3" s="87" t="s">
        <v>330</v>
      </c>
      <c r="R3" s="87" t="s">
        <v>331</v>
      </c>
      <c r="S3" s="91" t="s">
        <v>332</v>
      </c>
      <c r="T3" s="87" t="s">
        <v>333</v>
      </c>
      <c r="U3" s="77" t="s">
        <v>313</v>
      </c>
      <c r="V3" s="77" t="s">
        <v>334</v>
      </c>
      <c r="W3" s="77" t="s">
        <v>335</v>
      </c>
      <c r="X3" s="77" t="s">
        <v>336</v>
      </c>
      <c r="Y3" s="77" t="s">
        <v>337</v>
      </c>
      <c r="Z3" s="77" t="s">
        <v>338</v>
      </c>
      <c r="AA3" s="77" t="s">
        <v>339</v>
      </c>
      <c r="AB3" s="77" t="s">
        <v>340</v>
      </c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102"/>
      <c r="IB3" s="102"/>
      <c r="IC3" s="102"/>
      <c r="ID3" s="102"/>
    </row>
    <row r="4" s="66" customFormat="1" ht="16.5" spans="1:238">
      <c r="A4" s="77" t="s">
        <v>341</v>
      </c>
      <c r="B4" s="79" t="s">
        <v>314</v>
      </c>
      <c r="C4" s="79" t="s">
        <v>314</v>
      </c>
      <c r="D4" s="79" t="s">
        <v>314</v>
      </c>
      <c r="E4" s="79" t="s">
        <v>314</v>
      </c>
      <c r="F4" s="79" t="s">
        <v>314</v>
      </c>
      <c r="G4" s="79" t="s">
        <v>314</v>
      </c>
      <c r="H4" s="79" t="s">
        <v>314</v>
      </c>
      <c r="I4" s="79" t="s">
        <v>314</v>
      </c>
      <c r="J4" s="79" t="s">
        <v>314</v>
      </c>
      <c r="K4" s="79" t="s">
        <v>314</v>
      </c>
      <c r="L4" s="79" t="s">
        <v>314</v>
      </c>
      <c r="M4" s="79" t="s">
        <v>314</v>
      </c>
      <c r="N4" s="88">
        <f t="shared" ref="N4:R4" si="0">SUM(N$7:N$1048576)</f>
        <v>0</v>
      </c>
      <c r="O4" s="88">
        <f t="shared" si="0"/>
        <v>0</v>
      </c>
      <c r="P4" s="88">
        <f t="shared" si="0"/>
        <v>0</v>
      </c>
      <c r="Q4" s="88">
        <f t="shared" si="0"/>
        <v>0</v>
      </c>
      <c r="R4" s="88">
        <f t="shared" si="0"/>
        <v>0</v>
      </c>
      <c r="S4" s="79" t="s">
        <v>314</v>
      </c>
      <c r="T4" s="88">
        <f t="shared" ref="T4:Y4" si="1">SUM(T$7:T$1048576)</f>
        <v>0</v>
      </c>
      <c r="U4" s="79" t="s">
        <v>314</v>
      </c>
      <c r="V4" s="79" t="s">
        <v>314</v>
      </c>
      <c r="W4" s="88">
        <f t="shared" si="1"/>
        <v>0</v>
      </c>
      <c r="X4" s="88">
        <f t="shared" si="1"/>
        <v>0</v>
      </c>
      <c r="Y4" s="88">
        <f t="shared" si="1"/>
        <v>0</v>
      </c>
      <c r="Z4" s="79" t="s">
        <v>314</v>
      </c>
      <c r="AA4" s="79" t="s">
        <v>314</v>
      </c>
      <c r="AB4" s="79" t="s">
        <v>314</v>
      </c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102"/>
      <c r="IB4" s="102"/>
      <c r="IC4" s="102"/>
      <c r="ID4" s="102"/>
    </row>
    <row r="5" s="66" customFormat="1" ht="16.5" spans="1:238">
      <c r="A5" s="77" t="s">
        <v>342</v>
      </c>
      <c r="B5" s="79" t="s">
        <v>314</v>
      </c>
      <c r="C5" s="79" t="s">
        <v>314</v>
      </c>
      <c r="D5" s="79" t="s">
        <v>314</v>
      </c>
      <c r="E5" s="79" t="s">
        <v>314</v>
      </c>
      <c r="F5" s="79" t="s">
        <v>314</v>
      </c>
      <c r="G5" s="79" t="s">
        <v>314</v>
      </c>
      <c r="H5" s="79" t="s">
        <v>314</v>
      </c>
      <c r="I5" s="79" t="s">
        <v>314</v>
      </c>
      <c r="J5" s="79" t="s">
        <v>314</v>
      </c>
      <c r="K5" s="79" t="s">
        <v>314</v>
      </c>
      <c r="L5" s="79" t="s">
        <v>314</v>
      </c>
      <c r="M5" s="79" t="s">
        <v>314</v>
      </c>
      <c r="N5" s="88">
        <f t="shared" ref="N5:R5" si="2">SUBTOTAL(9,N$7:N$1048576)</f>
        <v>0</v>
      </c>
      <c r="O5" s="88">
        <f t="shared" si="2"/>
        <v>0</v>
      </c>
      <c r="P5" s="88">
        <f t="shared" si="2"/>
        <v>0</v>
      </c>
      <c r="Q5" s="88">
        <f t="shared" si="2"/>
        <v>0</v>
      </c>
      <c r="R5" s="88">
        <f t="shared" si="2"/>
        <v>0</v>
      </c>
      <c r="S5" s="79" t="s">
        <v>314</v>
      </c>
      <c r="T5" s="88">
        <f t="shared" ref="T5:Y5" si="3">SUBTOTAL(9,T$7:T$1048576)</f>
        <v>0</v>
      </c>
      <c r="U5" s="79" t="s">
        <v>314</v>
      </c>
      <c r="V5" s="79" t="s">
        <v>314</v>
      </c>
      <c r="W5" s="88">
        <f t="shared" si="3"/>
        <v>0</v>
      </c>
      <c r="X5" s="88">
        <f t="shared" si="3"/>
        <v>0</v>
      </c>
      <c r="Y5" s="88">
        <f t="shared" si="3"/>
        <v>0</v>
      </c>
      <c r="Z5" s="79" t="s">
        <v>314</v>
      </c>
      <c r="AA5" s="79" t="s">
        <v>314</v>
      </c>
      <c r="AB5" s="79" t="s">
        <v>314</v>
      </c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102"/>
      <c r="IB5" s="102"/>
      <c r="IC5" s="102"/>
      <c r="ID5" s="102"/>
    </row>
    <row r="6" s="67" customFormat="1" ht="16.5" spans="1:238">
      <c r="A6" s="77" t="s">
        <v>343</v>
      </c>
      <c r="B6" s="371" t="s">
        <v>213</v>
      </c>
      <c r="C6" s="371" t="s">
        <v>206</v>
      </c>
      <c r="D6" s="371" t="s">
        <v>207</v>
      </c>
      <c r="E6" s="371" t="s">
        <v>208</v>
      </c>
      <c r="F6" s="371" t="s">
        <v>214</v>
      </c>
      <c r="G6" s="371" t="s">
        <v>210</v>
      </c>
      <c r="H6" s="371" t="s">
        <v>211</v>
      </c>
      <c r="I6" s="371" t="s">
        <v>212</v>
      </c>
      <c r="J6" s="371" t="s">
        <v>215</v>
      </c>
      <c r="K6" s="371" t="s">
        <v>216</v>
      </c>
      <c r="L6" s="371" t="s">
        <v>217</v>
      </c>
      <c r="M6" s="371" t="s">
        <v>218</v>
      </c>
      <c r="N6" s="372" t="s">
        <v>219</v>
      </c>
      <c r="O6" s="360" t="s">
        <v>220</v>
      </c>
      <c r="P6" s="360" t="s">
        <v>221</v>
      </c>
      <c r="Q6" s="360" t="s">
        <v>222</v>
      </c>
      <c r="R6" s="360" t="s">
        <v>344</v>
      </c>
      <c r="S6" s="373" t="s">
        <v>224</v>
      </c>
      <c r="T6" s="360" t="s">
        <v>345</v>
      </c>
      <c r="U6" s="371" t="s">
        <v>226</v>
      </c>
      <c r="V6" s="371" t="s">
        <v>227</v>
      </c>
      <c r="W6" s="360" t="s">
        <v>228</v>
      </c>
      <c r="X6" s="360" t="s">
        <v>346</v>
      </c>
      <c r="Y6" s="360" t="s">
        <v>230</v>
      </c>
      <c r="Z6" s="371" t="s">
        <v>231</v>
      </c>
      <c r="AA6" s="371" t="s">
        <v>239</v>
      </c>
      <c r="AB6" s="371" t="s">
        <v>240</v>
      </c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103"/>
      <c r="IB6" s="103"/>
      <c r="IC6" s="103"/>
      <c r="ID6" s="103"/>
    </row>
    <row r="7" s="68" customFormat="1" ht="16.5" spans="1:238">
      <c r="A7" s="80">
        <v>1</v>
      </c>
      <c r="B7" s="81"/>
      <c r="C7" s="82"/>
      <c r="D7" s="83"/>
      <c r="E7" s="84"/>
      <c r="F7" s="83"/>
      <c r="G7" s="82"/>
      <c r="H7" s="83" t="str">
        <f>IF(G7="","",VLOOKUP(G7,'附表8-合同明细采集底稿'!B:H,2,0))</f>
        <v/>
      </c>
      <c r="I7" s="53" t="str">
        <f>IF(G7="","",VLOOKUP(G7,'附表8-合同明细采集底稿'!B:H,3,0))</f>
        <v/>
      </c>
      <c r="J7" s="83" t="str">
        <f>IF(G7="","",VLOOKUP(G7,'附表8-合同明细采集底稿'!B:H,4,0))</f>
        <v/>
      </c>
      <c r="K7" s="83"/>
      <c r="L7" s="82"/>
      <c r="M7" s="82"/>
      <c r="N7" s="90"/>
      <c r="O7" s="90"/>
      <c r="P7" s="90"/>
      <c r="Q7" s="90"/>
      <c r="R7" s="90">
        <f>P7+Q7</f>
        <v>0</v>
      </c>
      <c r="S7" s="93">
        <f>IFERROR(VLOOKUP(G7,'附表8-合同明细采集底稿'!B:M,12,0),100%)</f>
        <v>1</v>
      </c>
      <c r="T7" s="90">
        <f>ROUND(SUM(R7)*SUM(S7),2)</f>
        <v>0</v>
      </c>
      <c r="U7" s="83"/>
      <c r="V7" s="94" t="s">
        <v>274</v>
      </c>
      <c r="W7" s="95" t="str">
        <f>IF('附表1-面积统计表'!$D$29=0,"",IF(AND(V7="共同成本费用",Z7="总建筑面积法"),ROUND(T7/'附表1-面积统计表'!$D$29*'附表1-面积统计表'!$D$5,2),IF(AND(V7="共同成本费用",Z7="可售建筑面积法"),ROUND(T7/'附表1-面积统计表'!$F$29*'附表1-面积统计表'!$F$5,2),"请手工填写")))</f>
        <v/>
      </c>
      <c r="X7" s="95" t="str">
        <f>IF(SUM('附表1-面积统计表'!$D$6)=0,"",SUM(T7)-SUM(W7)-SUM(Y7))</f>
        <v/>
      </c>
      <c r="Y7" s="95">
        <f>IF(SUM('附表1-面积统计表'!$D$6)=0,SUM(T7)-SUM(W7),IF('附表1-面积统计表'!$D$29=0,"",IF(AND(V7="共同成本费用",Z7="总建筑面积法"),ROUND(T7/'附表1-面积统计表'!$D$29*'附表1-面积统计表'!$D$7,2),IF(AND(V7="共同成本费用",Z7="可售建筑面积法"),ROUND(T7/'附表1-面积统计表'!$F$29*'附表1-面积统计表'!$F$7,2),"请手工填写"))))</f>
        <v>0</v>
      </c>
      <c r="Z7" s="99" t="s">
        <v>260</v>
      </c>
      <c r="AA7" s="83"/>
      <c r="AB7" s="100" t="s">
        <v>347</v>
      </c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</row>
    <row r="8" spans="1:28">
      <c r="A8" s="80">
        <v>2</v>
      </c>
      <c r="B8" s="81"/>
      <c r="C8" s="82"/>
      <c r="D8" s="83"/>
      <c r="E8" s="84"/>
      <c r="F8" s="83"/>
      <c r="G8" s="82"/>
      <c r="H8" s="83" t="str">
        <f>IF(G8="","",VLOOKUP(G8,'附表8-合同明细采集底稿'!B:H,2,0))</f>
        <v/>
      </c>
      <c r="I8" s="53" t="str">
        <f>IF(G8="","",VLOOKUP(G8,'附表8-合同明细采集底稿'!B:H,3,0))</f>
        <v/>
      </c>
      <c r="J8" s="83" t="str">
        <f>IF(G8="","",VLOOKUP(G8,'附表8-合同明细采集底稿'!B:H,4,0))</f>
        <v/>
      </c>
      <c r="K8" s="83"/>
      <c r="L8" s="82"/>
      <c r="M8" s="82"/>
      <c r="N8" s="90"/>
      <c r="O8" s="90"/>
      <c r="P8" s="90"/>
      <c r="Q8" s="90"/>
      <c r="R8" s="90">
        <f t="shared" ref="R8:R28" si="4">P8+Q8</f>
        <v>0</v>
      </c>
      <c r="S8" s="93">
        <f>IFERROR(VLOOKUP(G8,'附表8-合同明细采集底稿'!B:M,12,0),100%)</f>
        <v>1</v>
      </c>
      <c r="T8" s="90">
        <f>ROUND(SUM(R8)*SUM(S8),2)</f>
        <v>0</v>
      </c>
      <c r="U8" s="83"/>
      <c r="V8" s="94" t="s">
        <v>274</v>
      </c>
      <c r="W8" s="95" t="str">
        <f>IF('附表1-面积统计表'!$D$29=0,"",IF(AND(V8="共同成本费用",Z8="总建筑面积法"),ROUND(T8/'附表1-面积统计表'!$D$29*'附表1-面积统计表'!$D$5,2),IF(AND(V8="共同成本费用",Z8="可售建筑面积法"),ROUND(T8/'附表1-面积统计表'!$F$29*'附表1-面积统计表'!$F$5,2),"请手工填写")))</f>
        <v/>
      </c>
      <c r="X8" s="95" t="str">
        <f>IF(SUM('附表1-面积统计表'!$D$6)=0,"",SUM(T8)-SUM(W8)-SUM(Y8))</f>
        <v/>
      </c>
      <c r="Y8" s="95">
        <f>IF(SUM('附表1-面积统计表'!$D$6)=0,SUM(T8)-SUM(W8),IF('附表1-面积统计表'!$D$29=0,"",IF(AND(V8="共同成本费用",Z8="总建筑面积法"),ROUND(T8/'附表1-面积统计表'!$D$29*'附表1-面积统计表'!$D$7,2),IF(AND(V8="共同成本费用",Z8="可售建筑面积法"),ROUND(T8/'附表1-面积统计表'!$F$29*'附表1-面积统计表'!$F$7,2),"请手工填写"))))</f>
        <v>0</v>
      </c>
      <c r="Z8" s="99" t="s">
        <v>260</v>
      </c>
      <c r="AA8" s="83"/>
      <c r="AB8" s="100" t="s">
        <v>347</v>
      </c>
    </row>
    <row r="9" spans="1:28">
      <c r="A9" s="80">
        <v>3</v>
      </c>
      <c r="B9" s="81"/>
      <c r="C9" s="82"/>
      <c r="D9" s="83"/>
      <c r="E9" s="84"/>
      <c r="F9" s="83"/>
      <c r="G9" s="82"/>
      <c r="H9" s="83" t="str">
        <f>IF(G9="","",VLOOKUP(G9,'附表8-合同明细采集底稿'!B:H,2,0))</f>
        <v/>
      </c>
      <c r="I9" s="53" t="str">
        <f>IF(G9="","",VLOOKUP(G9,'附表8-合同明细采集底稿'!B:H,3,0))</f>
        <v/>
      </c>
      <c r="J9" s="83" t="str">
        <f>IF(G9="","",VLOOKUP(G9,'附表8-合同明细采集底稿'!B:H,4,0))</f>
        <v/>
      </c>
      <c r="K9" s="83"/>
      <c r="L9" s="82"/>
      <c r="M9" s="82"/>
      <c r="N9" s="90"/>
      <c r="O9" s="90"/>
      <c r="P9" s="90"/>
      <c r="Q9" s="90"/>
      <c r="R9" s="90">
        <f t="shared" si="4"/>
        <v>0</v>
      </c>
      <c r="S9" s="93">
        <f>IFERROR(VLOOKUP(G9,'附表8-合同明细采集底稿'!B:M,12,0),100%)</f>
        <v>1</v>
      </c>
      <c r="T9" s="90">
        <f>ROUND(SUM(R9)*SUM(S9),2)</f>
        <v>0</v>
      </c>
      <c r="U9" s="83"/>
      <c r="V9" s="94" t="s">
        <v>275</v>
      </c>
      <c r="W9" s="95" t="str">
        <f>IF('附表1-面积统计表'!$D$29=0,"",IF(AND(V9="共同成本费用",Z9="总建筑面积法"),ROUND(T9/'附表1-面积统计表'!$D$29*'附表1-面积统计表'!$D$5,2),IF(AND(V9="共同成本费用",Z9="可售建筑面积法"),ROUND(T9/'附表1-面积统计表'!$F$29*'附表1-面积统计表'!$F$5,2),"请手工填写")))</f>
        <v/>
      </c>
      <c r="X9" s="95" t="str">
        <f>IF(SUM('附表1-面积统计表'!$D$6)=0,"",SUM(T9)-SUM(W9)-SUM(Y9))</f>
        <v/>
      </c>
      <c r="Y9" s="95">
        <f>IF(SUM('附表1-面积统计表'!$D$6)=0,SUM(T9)-SUM(W9),IF('附表1-面积统计表'!$D$29=0,"",IF(AND(V9="共同成本费用",Z9="总建筑面积法"),ROUND(T9/'附表1-面积统计表'!$D$29*'附表1-面积统计表'!$D$7,2),IF(AND(V9="共同成本费用",Z9="可售建筑面积法"),ROUND(T9/'附表1-面积统计表'!$F$29*'附表1-面积统计表'!$F$7,2),"请手工填写"))))</f>
        <v>0</v>
      </c>
      <c r="Z9" s="99" t="s">
        <v>260</v>
      </c>
      <c r="AA9" s="83"/>
      <c r="AB9" s="100" t="s">
        <v>347</v>
      </c>
    </row>
    <row r="10" spans="1:28">
      <c r="A10" s="80">
        <v>4</v>
      </c>
      <c r="B10" s="81"/>
      <c r="C10" s="82"/>
      <c r="D10" s="83"/>
      <c r="E10" s="84"/>
      <c r="F10" s="83"/>
      <c r="G10" s="82"/>
      <c r="H10" s="83" t="str">
        <f>IF(G10="","",VLOOKUP(G10,'附表8-合同明细采集底稿'!B:H,2,0))</f>
        <v/>
      </c>
      <c r="I10" s="53" t="str">
        <f>IF(G10="","",VLOOKUP(G10,'附表8-合同明细采集底稿'!B:H,3,0))</f>
        <v/>
      </c>
      <c r="J10" s="83" t="str">
        <f>IF(G10="","",VLOOKUP(G10,'附表8-合同明细采集底稿'!B:H,4,0))</f>
        <v/>
      </c>
      <c r="K10" s="83"/>
      <c r="L10" s="82"/>
      <c r="M10" s="82"/>
      <c r="N10" s="90"/>
      <c r="O10" s="90"/>
      <c r="P10" s="90"/>
      <c r="Q10" s="90"/>
      <c r="R10" s="90">
        <f t="shared" si="4"/>
        <v>0</v>
      </c>
      <c r="S10" s="93">
        <f>IFERROR(VLOOKUP(G10,'附表8-合同明细采集底稿'!B:M,12,0),100%)</f>
        <v>1</v>
      </c>
      <c r="T10" s="90">
        <f>ROUND(SUM(R10)*SUM(S10),2)</f>
        <v>0</v>
      </c>
      <c r="U10" s="83"/>
      <c r="V10" s="94" t="s">
        <v>275</v>
      </c>
      <c r="W10" s="95" t="str">
        <f>IF('附表1-面积统计表'!$D$29=0,"",IF(AND(V10="共同成本费用",Z10="总建筑面积法"),ROUND(T10/'附表1-面积统计表'!$D$29*'附表1-面积统计表'!$D$5,2),IF(AND(V10="共同成本费用",Z10="可售建筑面积法"),ROUND(T10/'附表1-面积统计表'!$F$29*'附表1-面积统计表'!$F$5,2),"请手工填写")))</f>
        <v/>
      </c>
      <c r="X10" s="95" t="str">
        <f>IF(SUM('附表1-面积统计表'!$D$6)=0,"",SUM(T10)-SUM(W10)-SUM(Y10))</f>
        <v/>
      </c>
      <c r="Y10" s="95">
        <f>IF(SUM('附表1-面积统计表'!$D$6)=0,SUM(T10)-SUM(W10),IF('附表1-面积统计表'!$D$29=0,"",IF(AND(V10="共同成本费用",Z10="总建筑面积法"),ROUND(T10/'附表1-面积统计表'!$D$29*'附表1-面积统计表'!$D$7,2),IF(AND(V10="共同成本费用",Z10="可售建筑面积法"),ROUND(T10/'附表1-面积统计表'!$F$29*'附表1-面积统计表'!$F$7,2),"请手工填写"))))</f>
        <v>0</v>
      </c>
      <c r="Z10" s="99" t="s">
        <v>260</v>
      </c>
      <c r="AA10" s="83"/>
      <c r="AB10" s="100" t="s">
        <v>347</v>
      </c>
    </row>
    <row r="11" spans="1:28">
      <c r="A11" s="80">
        <v>5</v>
      </c>
      <c r="B11" s="81"/>
      <c r="C11" s="82"/>
      <c r="D11" s="83"/>
      <c r="E11" s="84"/>
      <c r="F11" s="83"/>
      <c r="G11" s="82"/>
      <c r="H11" s="83" t="str">
        <f>IF(G11="","",VLOOKUP(G11,'附表8-合同明细采集底稿'!B:H,2,0))</f>
        <v/>
      </c>
      <c r="I11" s="53" t="str">
        <f>IF(G11="","",VLOOKUP(G11,'附表8-合同明细采集底稿'!B:H,3,0))</f>
        <v/>
      </c>
      <c r="J11" s="83" t="str">
        <f>IF(G11="","",VLOOKUP(G11,'附表8-合同明细采集底稿'!B:H,4,0))</f>
        <v/>
      </c>
      <c r="K11" s="83"/>
      <c r="L11" s="82"/>
      <c r="M11" s="82"/>
      <c r="N11" s="90"/>
      <c r="O11" s="90"/>
      <c r="P11" s="90"/>
      <c r="Q11" s="90"/>
      <c r="R11" s="90">
        <f t="shared" si="4"/>
        <v>0</v>
      </c>
      <c r="S11" s="93">
        <f>IFERROR(VLOOKUP(G11,'附表8-合同明细采集底稿'!B:M,12,0),100%)</f>
        <v>1</v>
      </c>
      <c r="T11" s="90">
        <f t="shared" ref="T11:T28" si="5">ROUND(SUM(R11)*SUM(S11),2)</f>
        <v>0</v>
      </c>
      <c r="U11" s="83"/>
      <c r="V11" s="94" t="s">
        <v>275</v>
      </c>
      <c r="W11" s="95" t="str">
        <f>IF('附表1-面积统计表'!$D$29=0,"",IF(AND(V11="共同成本费用",Z11="总建筑面积法"),ROUND(T11/'附表1-面积统计表'!$D$29*'附表1-面积统计表'!$D$5,2),IF(AND(V11="共同成本费用",Z11="可售建筑面积法"),ROUND(T11/'附表1-面积统计表'!$F$29*'附表1-面积统计表'!$F$5,2),"请手工填写")))</f>
        <v/>
      </c>
      <c r="X11" s="95" t="str">
        <f>IF(SUM('附表1-面积统计表'!$D$6)=0,"",SUM(T11)-SUM(W11)-SUM(Y11))</f>
        <v/>
      </c>
      <c r="Y11" s="95">
        <f>IF(SUM('附表1-面积统计表'!$D$6)=0,SUM(T11)-SUM(W11),IF('附表1-面积统计表'!$D$29=0,"",IF(AND(V11="共同成本费用",Z11="总建筑面积法"),ROUND(T11/'附表1-面积统计表'!$D$29*'附表1-面积统计表'!$D$7,2),IF(AND(V11="共同成本费用",Z11="可售建筑面积法"),ROUND(T11/'附表1-面积统计表'!$F$29*'附表1-面积统计表'!$F$7,2),"请手工填写"))))</f>
        <v>0</v>
      </c>
      <c r="Z11" s="99" t="s">
        <v>260</v>
      </c>
      <c r="AA11" s="83"/>
      <c r="AB11" s="100" t="s">
        <v>347</v>
      </c>
    </row>
    <row r="12" spans="1:28">
      <c r="A12" s="80">
        <v>6</v>
      </c>
      <c r="B12" s="81"/>
      <c r="C12" s="82"/>
      <c r="D12" s="83"/>
      <c r="E12" s="84"/>
      <c r="F12" s="83"/>
      <c r="G12" s="82"/>
      <c r="H12" s="83" t="str">
        <f>IF(G12="","",VLOOKUP(G12,'附表8-合同明细采集底稿'!B:H,2,0))</f>
        <v/>
      </c>
      <c r="I12" s="53" t="str">
        <f>IF(G12="","",VLOOKUP(G12,'附表8-合同明细采集底稿'!B:H,3,0))</f>
        <v/>
      </c>
      <c r="J12" s="83" t="str">
        <f>IF(G12="","",VLOOKUP(G12,'附表8-合同明细采集底稿'!B:H,4,0))</f>
        <v/>
      </c>
      <c r="K12" s="83"/>
      <c r="L12" s="82"/>
      <c r="M12" s="82"/>
      <c r="N12" s="90"/>
      <c r="O12" s="90"/>
      <c r="P12" s="90"/>
      <c r="Q12" s="90"/>
      <c r="R12" s="90">
        <f t="shared" si="4"/>
        <v>0</v>
      </c>
      <c r="S12" s="93">
        <f>IFERROR(VLOOKUP(G12,'附表8-合同明细采集底稿'!B:M,12,0),100%)</f>
        <v>1</v>
      </c>
      <c r="T12" s="90">
        <f t="shared" si="5"/>
        <v>0</v>
      </c>
      <c r="U12" s="83"/>
      <c r="V12" s="94" t="s">
        <v>275</v>
      </c>
      <c r="W12" s="95" t="str">
        <f>IF('附表1-面积统计表'!$D$29=0,"",IF(AND(V12="共同成本费用",Z12="总建筑面积法"),ROUND(T12/'附表1-面积统计表'!$D$29*'附表1-面积统计表'!$D$5,2),IF(AND(V12="共同成本费用",Z12="可售建筑面积法"),ROUND(T12/'附表1-面积统计表'!$F$29*'附表1-面积统计表'!$F$5,2),"请手工填写")))</f>
        <v/>
      </c>
      <c r="X12" s="95" t="str">
        <f>IF(SUM('附表1-面积统计表'!$D$6)=0,"",SUM(T12)-SUM(W12)-SUM(Y12))</f>
        <v/>
      </c>
      <c r="Y12" s="95">
        <f>IF(SUM('附表1-面积统计表'!$D$6)=0,SUM(T12)-SUM(W12),IF('附表1-面积统计表'!$D$29=0,"",IF(AND(V12="共同成本费用",Z12="总建筑面积法"),ROUND(T12/'附表1-面积统计表'!$D$29*'附表1-面积统计表'!$D$7,2),IF(AND(V12="共同成本费用",Z12="可售建筑面积法"),ROUND(T12/'附表1-面积统计表'!$F$29*'附表1-面积统计表'!$F$7,2),"请手工填写"))))</f>
        <v>0</v>
      </c>
      <c r="Z12" s="99" t="s">
        <v>260</v>
      </c>
      <c r="AA12" s="83"/>
      <c r="AB12" s="100" t="s">
        <v>347</v>
      </c>
    </row>
    <row r="13" spans="1:28">
      <c r="A13" s="80">
        <v>7</v>
      </c>
      <c r="B13" s="81"/>
      <c r="C13" s="82"/>
      <c r="D13" s="83"/>
      <c r="E13" s="84"/>
      <c r="F13" s="83"/>
      <c r="G13" s="82"/>
      <c r="H13" s="83" t="str">
        <f>IF(G13="","",VLOOKUP(G13,'附表8-合同明细采集底稿'!B:H,2,0))</f>
        <v/>
      </c>
      <c r="I13" s="53" t="str">
        <f>IF(G13="","",VLOOKUP(G13,'附表8-合同明细采集底稿'!B:H,3,0))</f>
        <v/>
      </c>
      <c r="J13" s="83" t="str">
        <f>IF(G13="","",VLOOKUP(G13,'附表8-合同明细采集底稿'!B:H,4,0))</f>
        <v/>
      </c>
      <c r="K13" s="83"/>
      <c r="L13" s="82"/>
      <c r="M13" s="82"/>
      <c r="N13" s="90"/>
      <c r="O13" s="90"/>
      <c r="P13" s="90"/>
      <c r="Q13" s="90"/>
      <c r="R13" s="90">
        <f t="shared" si="4"/>
        <v>0</v>
      </c>
      <c r="S13" s="93">
        <f>IFERROR(VLOOKUP(G13,'附表8-合同明细采集底稿'!B:M,12,0),100%)</f>
        <v>1</v>
      </c>
      <c r="T13" s="90">
        <f t="shared" si="5"/>
        <v>0</v>
      </c>
      <c r="U13" s="83"/>
      <c r="V13" s="94" t="s">
        <v>275</v>
      </c>
      <c r="W13" s="95" t="str">
        <f>IF('附表1-面积统计表'!$D$29=0,"",IF(AND(V13="共同成本费用",Z13="总建筑面积法"),ROUND(T13/'附表1-面积统计表'!$D$29*'附表1-面积统计表'!$D$5,2),IF(AND(V13="共同成本费用",Z13="可售建筑面积法"),ROUND(T13/'附表1-面积统计表'!$F$29*'附表1-面积统计表'!$F$5,2),"请手工填写")))</f>
        <v/>
      </c>
      <c r="X13" s="95" t="str">
        <f>IF(SUM('附表1-面积统计表'!$D$6)=0,"",SUM(T13)-SUM(W13)-SUM(Y13))</f>
        <v/>
      </c>
      <c r="Y13" s="95">
        <f>IF(SUM('附表1-面积统计表'!$D$6)=0,SUM(T13)-SUM(W13),IF('附表1-面积统计表'!$D$29=0,"",IF(AND(V13="共同成本费用",Z13="总建筑面积法"),ROUND(T13/'附表1-面积统计表'!$D$29*'附表1-面积统计表'!$D$7,2),IF(AND(V13="共同成本费用",Z13="可售建筑面积法"),ROUND(T13/'附表1-面积统计表'!$F$29*'附表1-面积统计表'!$F$7,2),"请手工填写"))))</f>
        <v>0</v>
      </c>
      <c r="Z13" s="99" t="s">
        <v>260</v>
      </c>
      <c r="AA13" s="83"/>
      <c r="AB13" s="100" t="s">
        <v>347</v>
      </c>
    </row>
    <row r="14" spans="1:28">
      <c r="A14" s="80">
        <v>8</v>
      </c>
      <c r="B14" s="81"/>
      <c r="C14" s="82"/>
      <c r="D14" s="83"/>
      <c r="E14" s="84"/>
      <c r="F14" s="83"/>
      <c r="G14" s="82"/>
      <c r="H14" s="83" t="str">
        <f>IF(G14="","",VLOOKUP(G14,'附表8-合同明细采集底稿'!B:H,2,0))</f>
        <v/>
      </c>
      <c r="I14" s="53" t="str">
        <f>IF(G14="","",VLOOKUP(G14,'附表8-合同明细采集底稿'!B:H,3,0))</f>
        <v/>
      </c>
      <c r="J14" s="83" t="str">
        <f>IF(G14="","",VLOOKUP(G14,'附表8-合同明细采集底稿'!B:H,4,0))</f>
        <v/>
      </c>
      <c r="K14" s="83"/>
      <c r="L14" s="82"/>
      <c r="M14" s="82"/>
      <c r="N14" s="90"/>
      <c r="O14" s="90"/>
      <c r="P14" s="90"/>
      <c r="Q14" s="90"/>
      <c r="R14" s="90">
        <f t="shared" si="4"/>
        <v>0</v>
      </c>
      <c r="S14" s="93">
        <f>IFERROR(VLOOKUP(G14,'附表8-合同明细采集底稿'!B:M,12,0),100%)</f>
        <v>1</v>
      </c>
      <c r="T14" s="90">
        <f t="shared" si="5"/>
        <v>0</v>
      </c>
      <c r="U14" s="83"/>
      <c r="V14" s="94" t="s">
        <v>275</v>
      </c>
      <c r="W14" s="95" t="str">
        <f>IF('附表1-面积统计表'!$D$29=0,"",IF(AND(V14="共同成本费用",Z14="总建筑面积法"),ROUND(T14/'附表1-面积统计表'!$D$29*'附表1-面积统计表'!$D$5,2),IF(AND(V14="共同成本费用",Z14="可售建筑面积法"),ROUND(T14/'附表1-面积统计表'!$F$29*'附表1-面积统计表'!$F$5,2),"请手工填写")))</f>
        <v/>
      </c>
      <c r="X14" s="95" t="str">
        <f>IF(SUM('附表1-面积统计表'!$D$6)=0,"",SUM(T14)-SUM(W14)-SUM(Y14))</f>
        <v/>
      </c>
      <c r="Y14" s="95">
        <f>IF(SUM('附表1-面积统计表'!$D$6)=0,SUM(T14)-SUM(W14),IF('附表1-面积统计表'!$D$29=0,"",IF(AND(V14="共同成本费用",Z14="总建筑面积法"),ROUND(T14/'附表1-面积统计表'!$D$29*'附表1-面积统计表'!$D$7,2),IF(AND(V14="共同成本费用",Z14="可售建筑面积法"),ROUND(T14/'附表1-面积统计表'!$F$29*'附表1-面积统计表'!$F$7,2),"请手工填写"))))</f>
        <v>0</v>
      </c>
      <c r="Z14" s="99" t="s">
        <v>260</v>
      </c>
      <c r="AA14" s="83"/>
      <c r="AB14" s="100" t="s">
        <v>347</v>
      </c>
    </row>
    <row r="15" spans="1:28">
      <c r="A15" s="80">
        <v>9</v>
      </c>
      <c r="B15" s="81"/>
      <c r="C15" s="82"/>
      <c r="D15" s="83"/>
      <c r="E15" s="84"/>
      <c r="F15" s="83"/>
      <c r="G15" s="82"/>
      <c r="H15" s="83" t="str">
        <f>IF(G15="","",VLOOKUP(G15,'附表8-合同明细采集底稿'!B:H,2,0))</f>
        <v/>
      </c>
      <c r="I15" s="53" t="str">
        <f>IF(G15="","",VLOOKUP(G15,'附表8-合同明细采集底稿'!B:H,3,0))</f>
        <v/>
      </c>
      <c r="J15" s="83" t="str">
        <f>IF(G15="","",VLOOKUP(G15,'附表8-合同明细采集底稿'!B:H,4,0))</f>
        <v/>
      </c>
      <c r="K15" s="83"/>
      <c r="L15" s="82"/>
      <c r="M15" s="82"/>
      <c r="N15" s="90"/>
      <c r="O15" s="90"/>
      <c r="P15" s="90"/>
      <c r="Q15" s="90"/>
      <c r="R15" s="90">
        <f t="shared" si="4"/>
        <v>0</v>
      </c>
      <c r="S15" s="93">
        <f>IFERROR(VLOOKUP(G15,'附表8-合同明细采集底稿'!B:M,12,0),100%)</f>
        <v>1</v>
      </c>
      <c r="T15" s="90">
        <f t="shared" si="5"/>
        <v>0</v>
      </c>
      <c r="U15" s="83"/>
      <c r="V15" s="94" t="s">
        <v>275</v>
      </c>
      <c r="W15" s="95" t="str">
        <f>IF('附表1-面积统计表'!$D$29=0,"",IF(AND(V15="共同成本费用",Z15="总建筑面积法"),ROUND(T15/'附表1-面积统计表'!$D$29*'附表1-面积统计表'!$D$5,2),IF(AND(V15="共同成本费用",Z15="可售建筑面积法"),ROUND(T15/'附表1-面积统计表'!$F$29*'附表1-面积统计表'!$F$5,2),"请手工填写")))</f>
        <v/>
      </c>
      <c r="X15" s="95" t="str">
        <f>IF(SUM('附表1-面积统计表'!$D$6)=0,"",SUM(T15)-SUM(W15)-SUM(Y15))</f>
        <v/>
      </c>
      <c r="Y15" s="95">
        <f>IF(SUM('附表1-面积统计表'!$D$6)=0,SUM(T15)-SUM(W15),IF('附表1-面积统计表'!$D$29=0,"",IF(AND(V15="共同成本费用",Z15="总建筑面积法"),ROUND(T15/'附表1-面积统计表'!$D$29*'附表1-面积统计表'!$D$7,2),IF(AND(V15="共同成本费用",Z15="可售建筑面积法"),ROUND(T15/'附表1-面积统计表'!$F$29*'附表1-面积统计表'!$F$7,2),"请手工填写"))))</f>
        <v>0</v>
      </c>
      <c r="Z15" s="99" t="s">
        <v>260</v>
      </c>
      <c r="AA15" s="83"/>
      <c r="AB15" s="100" t="s">
        <v>347</v>
      </c>
    </row>
    <row r="16" spans="1:28">
      <c r="A16" s="80">
        <v>10</v>
      </c>
      <c r="B16" s="81"/>
      <c r="C16" s="82"/>
      <c r="D16" s="83"/>
      <c r="E16" s="84"/>
      <c r="F16" s="83"/>
      <c r="G16" s="82"/>
      <c r="H16" s="83" t="str">
        <f>IF(G16="","",VLOOKUP(G16,'附表8-合同明细采集底稿'!B:H,2,0))</f>
        <v/>
      </c>
      <c r="I16" s="53" t="str">
        <f>IF(G16="","",VLOOKUP(G16,'附表8-合同明细采集底稿'!B:H,3,0))</f>
        <v/>
      </c>
      <c r="J16" s="83" t="str">
        <f>IF(G16="","",VLOOKUP(G16,'附表8-合同明细采集底稿'!B:H,4,0))</f>
        <v/>
      </c>
      <c r="K16" s="83"/>
      <c r="L16" s="82"/>
      <c r="M16" s="82"/>
      <c r="N16" s="90"/>
      <c r="O16" s="90"/>
      <c r="P16" s="90"/>
      <c r="Q16" s="90"/>
      <c r="R16" s="90">
        <f t="shared" si="4"/>
        <v>0</v>
      </c>
      <c r="S16" s="93">
        <f>IFERROR(VLOOKUP(G16,'附表8-合同明细采集底稿'!B:M,12,0),100%)</f>
        <v>1</v>
      </c>
      <c r="T16" s="90">
        <f t="shared" si="5"/>
        <v>0</v>
      </c>
      <c r="U16" s="83"/>
      <c r="V16" s="94" t="s">
        <v>275</v>
      </c>
      <c r="W16" s="95" t="str">
        <f>IF('附表1-面积统计表'!$D$29=0,"",IF(AND(V16="共同成本费用",Z16="总建筑面积法"),ROUND(T16/'附表1-面积统计表'!$D$29*'附表1-面积统计表'!$D$5,2),IF(AND(V16="共同成本费用",Z16="可售建筑面积法"),ROUND(T16/'附表1-面积统计表'!$F$29*'附表1-面积统计表'!$F$5,2),"请手工填写")))</f>
        <v/>
      </c>
      <c r="X16" s="95" t="str">
        <f>IF(SUM('附表1-面积统计表'!$D$6)=0,"",SUM(T16)-SUM(W16)-SUM(Y16))</f>
        <v/>
      </c>
      <c r="Y16" s="95">
        <f>IF(SUM('附表1-面积统计表'!$D$6)=0,SUM(T16)-SUM(W16),IF('附表1-面积统计表'!$D$29=0,"",IF(AND(V16="共同成本费用",Z16="总建筑面积法"),ROUND(T16/'附表1-面积统计表'!$D$29*'附表1-面积统计表'!$D$7,2),IF(AND(V16="共同成本费用",Z16="可售建筑面积法"),ROUND(T16/'附表1-面积统计表'!$F$29*'附表1-面积统计表'!$F$7,2),"请手工填写"))))</f>
        <v>0</v>
      </c>
      <c r="Z16" s="99" t="s">
        <v>260</v>
      </c>
      <c r="AA16" s="83"/>
      <c r="AB16" s="100" t="s">
        <v>347</v>
      </c>
    </row>
    <row r="17" spans="1:28">
      <c r="A17" s="80">
        <v>11</v>
      </c>
      <c r="B17" s="81"/>
      <c r="C17" s="82"/>
      <c r="D17" s="83"/>
      <c r="E17" s="84"/>
      <c r="F17" s="83"/>
      <c r="G17" s="82"/>
      <c r="H17" s="83" t="str">
        <f>IF(G17="","",VLOOKUP(G17,'附表8-合同明细采集底稿'!B:H,2,0))</f>
        <v/>
      </c>
      <c r="I17" s="53" t="str">
        <f>IF(G17="","",VLOOKUP(G17,'附表8-合同明细采集底稿'!B:H,3,0))</f>
        <v/>
      </c>
      <c r="J17" s="83" t="str">
        <f>IF(G17="","",VLOOKUP(G17,'附表8-合同明细采集底稿'!B:H,4,0))</f>
        <v/>
      </c>
      <c r="K17" s="83"/>
      <c r="L17" s="82"/>
      <c r="M17" s="82"/>
      <c r="N17" s="90"/>
      <c r="O17" s="90"/>
      <c r="P17" s="90"/>
      <c r="Q17" s="90"/>
      <c r="R17" s="90">
        <f t="shared" si="4"/>
        <v>0</v>
      </c>
      <c r="S17" s="93">
        <f>IFERROR(VLOOKUP(G17,'附表8-合同明细采集底稿'!B:M,12,0),100%)</f>
        <v>1</v>
      </c>
      <c r="T17" s="90">
        <f t="shared" si="5"/>
        <v>0</v>
      </c>
      <c r="U17" s="83"/>
      <c r="V17" s="94" t="s">
        <v>275</v>
      </c>
      <c r="W17" s="95" t="str">
        <f>IF('附表1-面积统计表'!$D$29=0,"",IF(AND(V17="共同成本费用",Z17="总建筑面积法"),ROUND(T17/'附表1-面积统计表'!$D$29*'附表1-面积统计表'!$D$5,2),IF(AND(V17="共同成本费用",Z17="可售建筑面积法"),ROUND(T17/'附表1-面积统计表'!$F$29*'附表1-面积统计表'!$F$5,2),"请手工填写")))</f>
        <v/>
      </c>
      <c r="X17" s="95" t="str">
        <f>IF(SUM('附表1-面积统计表'!$D$6)=0,"",SUM(T17)-SUM(W17)-SUM(Y17))</f>
        <v/>
      </c>
      <c r="Y17" s="95">
        <f>IF(SUM('附表1-面积统计表'!$D$6)=0,SUM(T17)-SUM(W17),IF('附表1-面积统计表'!$D$29=0,"",IF(AND(V17="共同成本费用",Z17="总建筑面积法"),ROUND(T17/'附表1-面积统计表'!$D$29*'附表1-面积统计表'!$D$7,2),IF(AND(V17="共同成本费用",Z17="可售建筑面积法"),ROUND(T17/'附表1-面积统计表'!$F$29*'附表1-面积统计表'!$F$7,2),"请手工填写"))))</f>
        <v>0</v>
      </c>
      <c r="Z17" s="99" t="s">
        <v>260</v>
      </c>
      <c r="AA17" s="83"/>
      <c r="AB17" s="100" t="s">
        <v>347</v>
      </c>
    </row>
    <row r="18" spans="1:28">
      <c r="A18" s="80">
        <v>12</v>
      </c>
      <c r="B18" s="81"/>
      <c r="C18" s="82"/>
      <c r="D18" s="83"/>
      <c r="E18" s="84"/>
      <c r="F18" s="83"/>
      <c r="G18" s="82"/>
      <c r="H18" s="83" t="str">
        <f>IF(G18="","",VLOOKUP(G18,'附表8-合同明细采集底稿'!B:H,2,0))</f>
        <v/>
      </c>
      <c r="I18" s="53" t="str">
        <f>IF(G18="","",VLOOKUP(G18,'附表8-合同明细采集底稿'!B:H,3,0))</f>
        <v/>
      </c>
      <c r="J18" s="83" t="str">
        <f>IF(G18="","",VLOOKUP(G18,'附表8-合同明细采集底稿'!B:H,4,0))</f>
        <v/>
      </c>
      <c r="K18" s="83"/>
      <c r="L18" s="82"/>
      <c r="M18" s="82"/>
      <c r="N18" s="90"/>
      <c r="O18" s="90"/>
      <c r="P18" s="90"/>
      <c r="Q18" s="90"/>
      <c r="R18" s="90">
        <f t="shared" si="4"/>
        <v>0</v>
      </c>
      <c r="S18" s="93">
        <f>IFERROR(VLOOKUP(G18,'附表8-合同明细采集底稿'!B:M,12,0),100%)</f>
        <v>1</v>
      </c>
      <c r="T18" s="90">
        <f t="shared" si="5"/>
        <v>0</v>
      </c>
      <c r="U18" s="83"/>
      <c r="V18" s="94" t="s">
        <v>275</v>
      </c>
      <c r="W18" s="95" t="str">
        <f>IF('附表1-面积统计表'!$D$29=0,"",IF(AND(V18="共同成本费用",Z18="总建筑面积法"),ROUND(T18/'附表1-面积统计表'!$D$29*'附表1-面积统计表'!$D$5,2),IF(AND(V18="共同成本费用",Z18="可售建筑面积法"),ROUND(T18/'附表1-面积统计表'!$F$29*'附表1-面积统计表'!$F$5,2),"请手工填写")))</f>
        <v/>
      </c>
      <c r="X18" s="95" t="str">
        <f>IF(SUM('附表1-面积统计表'!$D$6)=0,"",SUM(T18)-SUM(W18)-SUM(Y18))</f>
        <v/>
      </c>
      <c r="Y18" s="95">
        <f>IF(SUM('附表1-面积统计表'!$D$6)=0,SUM(T18)-SUM(W18),IF('附表1-面积统计表'!$D$29=0,"",IF(AND(V18="共同成本费用",Z18="总建筑面积法"),ROUND(T18/'附表1-面积统计表'!$D$29*'附表1-面积统计表'!$D$7,2),IF(AND(V18="共同成本费用",Z18="可售建筑面积法"),ROUND(T18/'附表1-面积统计表'!$F$29*'附表1-面积统计表'!$F$7,2),"请手工填写"))))</f>
        <v>0</v>
      </c>
      <c r="Z18" s="99" t="s">
        <v>260</v>
      </c>
      <c r="AA18" s="83"/>
      <c r="AB18" s="100" t="s">
        <v>347</v>
      </c>
    </row>
    <row r="19" spans="1:28">
      <c r="A19" s="80">
        <v>13</v>
      </c>
      <c r="B19" s="81"/>
      <c r="C19" s="82"/>
      <c r="D19" s="83"/>
      <c r="E19" s="84"/>
      <c r="F19" s="83"/>
      <c r="G19" s="82"/>
      <c r="H19" s="83" t="str">
        <f>IF(G19="","",VLOOKUP(G19,'附表8-合同明细采集底稿'!B:H,2,0))</f>
        <v/>
      </c>
      <c r="I19" s="53" t="str">
        <f>IF(G19="","",VLOOKUP(G19,'附表8-合同明细采集底稿'!B:H,3,0))</f>
        <v/>
      </c>
      <c r="J19" s="83" t="str">
        <f>IF(G19="","",VLOOKUP(G19,'附表8-合同明细采集底稿'!B:H,4,0))</f>
        <v/>
      </c>
      <c r="K19" s="83"/>
      <c r="L19" s="82"/>
      <c r="M19" s="82"/>
      <c r="N19" s="90"/>
      <c r="O19" s="90"/>
      <c r="P19" s="90"/>
      <c r="Q19" s="90"/>
      <c r="R19" s="90">
        <f t="shared" si="4"/>
        <v>0</v>
      </c>
      <c r="S19" s="93">
        <f>IFERROR(VLOOKUP(G19,'附表8-合同明细采集底稿'!B:M,12,0),100%)</f>
        <v>1</v>
      </c>
      <c r="T19" s="90">
        <f t="shared" si="5"/>
        <v>0</v>
      </c>
      <c r="U19" s="83"/>
      <c r="V19" s="94" t="s">
        <v>275</v>
      </c>
      <c r="W19" s="95" t="str">
        <f>IF('附表1-面积统计表'!$D$29=0,"",IF(AND(V19="共同成本费用",Z19="总建筑面积法"),ROUND(T19/'附表1-面积统计表'!$D$29*'附表1-面积统计表'!$D$5,2),IF(AND(V19="共同成本费用",Z19="可售建筑面积法"),ROUND(T19/'附表1-面积统计表'!$F$29*'附表1-面积统计表'!$F$5,2),"请手工填写")))</f>
        <v/>
      </c>
      <c r="X19" s="95" t="str">
        <f>IF(SUM('附表1-面积统计表'!$D$6)=0,"",SUM(T19)-SUM(W19)-SUM(Y19))</f>
        <v/>
      </c>
      <c r="Y19" s="95">
        <f>IF(SUM('附表1-面积统计表'!$D$6)=0,SUM(T19)-SUM(W19),IF('附表1-面积统计表'!$D$29=0,"",IF(AND(V19="共同成本费用",Z19="总建筑面积法"),ROUND(T19/'附表1-面积统计表'!$D$29*'附表1-面积统计表'!$D$7,2),IF(AND(V19="共同成本费用",Z19="可售建筑面积法"),ROUND(T19/'附表1-面积统计表'!$F$29*'附表1-面积统计表'!$F$7,2),"请手工填写"))))</f>
        <v>0</v>
      </c>
      <c r="Z19" s="99" t="s">
        <v>260</v>
      </c>
      <c r="AA19" s="83"/>
      <c r="AB19" s="100" t="s">
        <v>347</v>
      </c>
    </row>
    <row r="20" spans="1:28">
      <c r="A20" s="80">
        <v>14</v>
      </c>
      <c r="B20" s="81"/>
      <c r="C20" s="82"/>
      <c r="D20" s="83"/>
      <c r="E20" s="84"/>
      <c r="F20" s="83"/>
      <c r="G20" s="82"/>
      <c r="H20" s="83" t="str">
        <f>IF(G20="","",VLOOKUP(G20,'附表8-合同明细采集底稿'!B:H,2,0))</f>
        <v/>
      </c>
      <c r="I20" s="53" t="str">
        <f>IF(G20="","",VLOOKUP(G20,'附表8-合同明细采集底稿'!B:H,3,0))</f>
        <v/>
      </c>
      <c r="J20" s="83" t="str">
        <f>IF(G20="","",VLOOKUP(G20,'附表8-合同明细采集底稿'!B:H,4,0))</f>
        <v/>
      </c>
      <c r="K20" s="83"/>
      <c r="L20" s="82"/>
      <c r="M20" s="82"/>
      <c r="N20" s="90"/>
      <c r="O20" s="90"/>
      <c r="P20" s="90"/>
      <c r="Q20" s="90"/>
      <c r="R20" s="90">
        <f t="shared" si="4"/>
        <v>0</v>
      </c>
      <c r="S20" s="93">
        <f>IFERROR(VLOOKUP(G20,'附表8-合同明细采集底稿'!B:M,12,0),100%)</f>
        <v>1</v>
      </c>
      <c r="T20" s="90">
        <f t="shared" si="5"/>
        <v>0</v>
      </c>
      <c r="U20" s="83"/>
      <c r="V20" s="94" t="s">
        <v>275</v>
      </c>
      <c r="W20" s="95" t="str">
        <f>IF('附表1-面积统计表'!$D$29=0,"",IF(AND(V20="共同成本费用",Z20="总建筑面积法"),ROUND(T20/'附表1-面积统计表'!$D$29*'附表1-面积统计表'!$D$5,2),IF(AND(V20="共同成本费用",Z20="可售建筑面积法"),ROUND(T20/'附表1-面积统计表'!$F$29*'附表1-面积统计表'!$F$5,2),"请手工填写")))</f>
        <v/>
      </c>
      <c r="X20" s="95" t="str">
        <f>IF(SUM('附表1-面积统计表'!$D$6)=0,"",SUM(T20)-SUM(W20)-SUM(Y20))</f>
        <v/>
      </c>
      <c r="Y20" s="95">
        <f>IF(SUM('附表1-面积统计表'!$D$6)=0,SUM(T20)-SUM(W20),IF('附表1-面积统计表'!$D$29=0,"",IF(AND(V20="共同成本费用",Z20="总建筑面积法"),ROUND(T20/'附表1-面积统计表'!$D$29*'附表1-面积统计表'!$D$7,2),IF(AND(V20="共同成本费用",Z20="可售建筑面积法"),ROUND(T20/'附表1-面积统计表'!$F$29*'附表1-面积统计表'!$F$7,2),"请手工填写"))))</f>
        <v>0</v>
      </c>
      <c r="Z20" s="99" t="s">
        <v>260</v>
      </c>
      <c r="AA20" s="83"/>
      <c r="AB20" s="100" t="s">
        <v>347</v>
      </c>
    </row>
    <row r="21" spans="1:28">
      <c r="A21" s="80">
        <v>15</v>
      </c>
      <c r="B21" s="81"/>
      <c r="C21" s="82"/>
      <c r="D21" s="83"/>
      <c r="E21" s="84"/>
      <c r="F21" s="83"/>
      <c r="G21" s="82"/>
      <c r="H21" s="83" t="str">
        <f>IF(G21="","",VLOOKUP(G21,'附表8-合同明细采集底稿'!B:H,2,0))</f>
        <v/>
      </c>
      <c r="I21" s="53" t="str">
        <f>IF(G21="","",VLOOKUP(G21,'附表8-合同明细采集底稿'!B:H,3,0))</f>
        <v/>
      </c>
      <c r="J21" s="83" t="str">
        <f>IF(G21="","",VLOOKUP(G21,'附表8-合同明细采集底稿'!B:H,4,0))</f>
        <v/>
      </c>
      <c r="K21" s="83"/>
      <c r="L21" s="82"/>
      <c r="M21" s="82"/>
      <c r="N21" s="90"/>
      <c r="O21" s="90"/>
      <c r="P21" s="90"/>
      <c r="Q21" s="90"/>
      <c r="R21" s="90">
        <f t="shared" si="4"/>
        <v>0</v>
      </c>
      <c r="S21" s="93">
        <f>IFERROR(VLOOKUP(G21,'附表8-合同明细采集底稿'!B:M,12,0),100%)</f>
        <v>1</v>
      </c>
      <c r="T21" s="90">
        <f t="shared" si="5"/>
        <v>0</v>
      </c>
      <c r="U21" s="83"/>
      <c r="V21" s="94" t="s">
        <v>275</v>
      </c>
      <c r="W21" s="95" t="str">
        <f>IF('附表1-面积统计表'!$D$29=0,"",IF(AND(V21="共同成本费用",Z21="总建筑面积法"),ROUND(T21/'附表1-面积统计表'!$D$29*'附表1-面积统计表'!$D$5,2),IF(AND(V21="共同成本费用",Z21="可售建筑面积法"),ROUND(T21/'附表1-面积统计表'!$F$29*'附表1-面积统计表'!$F$5,2),"请手工填写")))</f>
        <v/>
      </c>
      <c r="X21" s="95" t="str">
        <f>IF(SUM('附表1-面积统计表'!$D$6)=0,"",SUM(T21)-SUM(W21)-SUM(Y21))</f>
        <v/>
      </c>
      <c r="Y21" s="95">
        <f>IF(SUM('附表1-面积统计表'!$D$6)=0,SUM(T21)-SUM(W21),IF('附表1-面积统计表'!$D$29=0,"",IF(AND(V21="共同成本费用",Z21="总建筑面积法"),ROUND(T21/'附表1-面积统计表'!$D$29*'附表1-面积统计表'!$D$7,2),IF(AND(V21="共同成本费用",Z21="可售建筑面积法"),ROUND(T21/'附表1-面积统计表'!$F$29*'附表1-面积统计表'!$F$7,2),"请手工填写"))))</f>
        <v>0</v>
      </c>
      <c r="Z21" s="99" t="s">
        <v>260</v>
      </c>
      <c r="AA21" s="83"/>
      <c r="AB21" s="100" t="s">
        <v>347</v>
      </c>
    </row>
    <row r="22" spans="1:28">
      <c r="A22" s="80">
        <v>16</v>
      </c>
      <c r="B22" s="81"/>
      <c r="C22" s="82"/>
      <c r="D22" s="83"/>
      <c r="E22" s="84"/>
      <c r="F22" s="83"/>
      <c r="G22" s="82"/>
      <c r="H22" s="83" t="str">
        <f>IF(G22="","",VLOOKUP(G22,'附表8-合同明细采集底稿'!B:H,2,0))</f>
        <v/>
      </c>
      <c r="I22" s="53" t="str">
        <f>IF(G22="","",VLOOKUP(G22,'附表8-合同明细采集底稿'!B:H,3,0))</f>
        <v/>
      </c>
      <c r="J22" s="83" t="str">
        <f>IF(G22="","",VLOOKUP(G22,'附表8-合同明细采集底稿'!B:H,4,0))</f>
        <v/>
      </c>
      <c r="K22" s="83"/>
      <c r="L22" s="82"/>
      <c r="M22" s="82"/>
      <c r="N22" s="90"/>
      <c r="O22" s="90"/>
      <c r="P22" s="90"/>
      <c r="Q22" s="90"/>
      <c r="R22" s="90">
        <f t="shared" si="4"/>
        <v>0</v>
      </c>
      <c r="S22" s="93">
        <f>IFERROR(VLOOKUP(G22,'附表8-合同明细采集底稿'!B:M,12,0),100%)</f>
        <v>1</v>
      </c>
      <c r="T22" s="90">
        <f t="shared" si="5"/>
        <v>0</v>
      </c>
      <c r="U22" s="83"/>
      <c r="V22" s="94" t="s">
        <v>275</v>
      </c>
      <c r="W22" s="95" t="str">
        <f>IF('附表1-面积统计表'!$D$29=0,"",IF(AND(V22="共同成本费用",Z22="总建筑面积法"),ROUND(T22/'附表1-面积统计表'!$D$29*'附表1-面积统计表'!$D$5,2),IF(AND(V22="共同成本费用",Z22="可售建筑面积法"),ROUND(T22/'附表1-面积统计表'!$F$29*'附表1-面积统计表'!$F$5,2),"请手工填写")))</f>
        <v/>
      </c>
      <c r="X22" s="95" t="str">
        <f>IF(SUM('附表1-面积统计表'!$D$6)=0,"",SUM(T22)-SUM(W22)-SUM(Y22))</f>
        <v/>
      </c>
      <c r="Y22" s="95">
        <f>IF(SUM('附表1-面积统计表'!$D$6)=0,SUM(T22)-SUM(W22),IF('附表1-面积统计表'!$D$29=0,"",IF(AND(V22="共同成本费用",Z22="总建筑面积法"),ROUND(T22/'附表1-面积统计表'!$D$29*'附表1-面积统计表'!$D$7,2),IF(AND(V22="共同成本费用",Z22="可售建筑面积法"),ROUND(T22/'附表1-面积统计表'!$F$29*'附表1-面积统计表'!$F$7,2),"请手工填写"))))</f>
        <v>0</v>
      </c>
      <c r="Z22" s="99" t="s">
        <v>260</v>
      </c>
      <c r="AA22" s="83"/>
      <c r="AB22" s="100" t="s">
        <v>347</v>
      </c>
    </row>
    <row r="23" spans="1:28">
      <c r="A23" s="80">
        <v>17</v>
      </c>
      <c r="B23" s="81"/>
      <c r="C23" s="82"/>
      <c r="D23" s="83"/>
      <c r="E23" s="84"/>
      <c r="F23" s="83"/>
      <c r="G23" s="82"/>
      <c r="H23" s="83" t="str">
        <f>IF(G23="","",VLOOKUP(G23,'附表8-合同明细采集底稿'!B:H,2,0))</f>
        <v/>
      </c>
      <c r="I23" s="53" t="str">
        <f>IF(G23="","",VLOOKUP(G23,'附表8-合同明细采集底稿'!B:H,3,0))</f>
        <v/>
      </c>
      <c r="J23" s="83" t="str">
        <f>IF(G23="","",VLOOKUP(G23,'附表8-合同明细采集底稿'!B:H,4,0))</f>
        <v/>
      </c>
      <c r="K23" s="83"/>
      <c r="L23" s="82"/>
      <c r="M23" s="82"/>
      <c r="N23" s="90"/>
      <c r="O23" s="90"/>
      <c r="P23" s="90"/>
      <c r="Q23" s="90"/>
      <c r="R23" s="90">
        <f t="shared" si="4"/>
        <v>0</v>
      </c>
      <c r="S23" s="93">
        <f>IFERROR(VLOOKUP(G23,'附表8-合同明细采集底稿'!B:M,12,0),100%)</f>
        <v>1</v>
      </c>
      <c r="T23" s="90">
        <f t="shared" si="5"/>
        <v>0</v>
      </c>
      <c r="U23" s="83"/>
      <c r="V23" s="94" t="s">
        <v>275</v>
      </c>
      <c r="W23" s="95" t="str">
        <f>IF('附表1-面积统计表'!$D$29=0,"",IF(AND(V23="共同成本费用",Z23="总建筑面积法"),ROUND(T23/'附表1-面积统计表'!$D$29*'附表1-面积统计表'!$D$5,2),IF(AND(V23="共同成本费用",Z23="可售建筑面积法"),ROUND(T23/'附表1-面积统计表'!$F$29*'附表1-面积统计表'!$F$5,2),"请手工填写")))</f>
        <v/>
      </c>
      <c r="X23" s="95" t="str">
        <f>IF(SUM('附表1-面积统计表'!$D$6)=0,"",SUM(T23)-SUM(W23)-SUM(Y23))</f>
        <v/>
      </c>
      <c r="Y23" s="95">
        <f>IF(SUM('附表1-面积统计表'!$D$6)=0,SUM(T23)-SUM(W23),IF('附表1-面积统计表'!$D$29=0,"",IF(AND(V23="共同成本费用",Z23="总建筑面积法"),ROUND(T23/'附表1-面积统计表'!$D$29*'附表1-面积统计表'!$D$7,2),IF(AND(V23="共同成本费用",Z23="可售建筑面积法"),ROUND(T23/'附表1-面积统计表'!$F$29*'附表1-面积统计表'!$F$7,2),"请手工填写"))))</f>
        <v>0</v>
      </c>
      <c r="Z23" s="99" t="s">
        <v>260</v>
      </c>
      <c r="AA23" s="83"/>
      <c r="AB23" s="100" t="s">
        <v>347</v>
      </c>
    </row>
    <row r="24" spans="1:28">
      <c r="A24" s="80">
        <v>18</v>
      </c>
      <c r="B24" s="81"/>
      <c r="C24" s="82"/>
      <c r="D24" s="83"/>
      <c r="E24" s="84"/>
      <c r="F24" s="83"/>
      <c r="G24" s="82"/>
      <c r="H24" s="83" t="str">
        <f>IF(G24="","",VLOOKUP(G24,'附表8-合同明细采集底稿'!B:H,2,0))</f>
        <v/>
      </c>
      <c r="I24" s="53" t="str">
        <f>IF(G24="","",VLOOKUP(G24,'附表8-合同明细采集底稿'!B:H,3,0))</f>
        <v/>
      </c>
      <c r="J24" s="83" t="str">
        <f>IF(G24="","",VLOOKUP(G24,'附表8-合同明细采集底稿'!B:H,4,0))</f>
        <v/>
      </c>
      <c r="K24" s="83"/>
      <c r="L24" s="82"/>
      <c r="M24" s="82"/>
      <c r="N24" s="90"/>
      <c r="O24" s="90"/>
      <c r="P24" s="90"/>
      <c r="Q24" s="90"/>
      <c r="R24" s="90">
        <f t="shared" si="4"/>
        <v>0</v>
      </c>
      <c r="S24" s="93">
        <f>IFERROR(VLOOKUP(G24,'附表8-合同明细采集底稿'!B:M,12,0),100%)</f>
        <v>1</v>
      </c>
      <c r="T24" s="90">
        <f t="shared" si="5"/>
        <v>0</v>
      </c>
      <c r="U24" s="83"/>
      <c r="V24" s="94" t="s">
        <v>275</v>
      </c>
      <c r="W24" s="95" t="str">
        <f>IF('附表1-面积统计表'!$D$29=0,"",IF(AND(V24="共同成本费用",Z24="总建筑面积法"),ROUND(T24/'附表1-面积统计表'!$D$29*'附表1-面积统计表'!$D$5,2),IF(AND(V24="共同成本费用",Z24="可售建筑面积法"),ROUND(T24/'附表1-面积统计表'!$F$29*'附表1-面积统计表'!$F$5,2),"请手工填写")))</f>
        <v/>
      </c>
      <c r="X24" s="95" t="str">
        <f>IF(SUM('附表1-面积统计表'!$D$6)=0,"",SUM(T24)-SUM(W24)-SUM(Y24))</f>
        <v/>
      </c>
      <c r="Y24" s="95">
        <f>IF(SUM('附表1-面积统计表'!$D$6)=0,SUM(T24)-SUM(W24),IF('附表1-面积统计表'!$D$29=0,"",IF(AND(V24="共同成本费用",Z24="总建筑面积法"),ROUND(T24/'附表1-面积统计表'!$D$29*'附表1-面积统计表'!$D$7,2),IF(AND(V24="共同成本费用",Z24="可售建筑面积法"),ROUND(T24/'附表1-面积统计表'!$F$29*'附表1-面积统计表'!$F$7,2),"请手工填写"))))</f>
        <v>0</v>
      </c>
      <c r="Z24" s="99" t="s">
        <v>260</v>
      </c>
      <c r="AA24" s="83"/>
      <c r="AB24" s="100" t="s">
        <v>347</v>
      </c>
    </row>
    <row r="25" spans="1:28">
      <c r="A25" s="80">
        <v>19</v>
      </c>
      <c r="B25" s="81"/>
      <c r="C25" s="82"/>
      <c r="D25" s="83"/>
      <c r="E25" s="84"/>
      <c r="F25" s="83"/>
      <c r="G25" s="82"/>
      <c r="H25" s="83" t="str">
        <f>IF(G25="","",VLOOKUP(G25,'附表8-合同明细采集底稿'!B:H,2,0))</f>
        <v/>
      </c>
      <c r="I25" s="53" t="str">
        <f>IF(G25="","",VLOOKUP(G25,'附表8-合同明细采集底稿'!B:H,3,0))</f>
        <v/>
      </c>
      <c r="J25" s="83" t="str">
        <f>IF(G25="","",VLOOKUP(G25,'附表8-合同明细采集底稿'!B:H,4,0))</f>
        <v/>
      </c>
      <c r="K25" s="83"/>
      <c r="L25" s="82"/>
      <c r="M25" s="82"/>
      <c r="N25" s="90"/>
      <c r="O25" s="90"/>
      <c r="P25" s="90"/>
      <c r="Q25" s="90"/>
      <c r="R25" s="90">
        <f t="shared" si="4"/>
        <v>0</v>
      </c>
      <c r="S25" s="93">
        <f>IFERROR(VLOOKUP(G25,'附表8-合同明细采集底稿'!B:M,12,0),100%)</f>
        <v>1</v>
      </c>
      <c r="T25" s="90">
        <f t="shared" si="5"/>
        <v>0</v>
      </c>
      <c r="U25" s="83"/>
      <c r="V25" s="94" t="s">
        <v>275</v>
      </c>
      <c r="W25" s="95" t="str">
        <f>IF('附表1-面积统计表'!$D$29=0,"",IF(AND(V25="共同成本费用",Z25="总建筑面积法"),ROUND(T25/'附表1-面积统计表'!$D$29*'附表1-面积统计表'!$D$5,2),IF(AND(V25="共同成本费用",Z25="可售建筑面积法"),ROUND(T25/'附表1-面积统计表'!$F$29*'附表1-面积统计表'!$F$5,2),"请手工填写")))</f>
        <v/>
      </c>
      <c r="X25" s="95" t="str">
        <f>IF(SUM('附表1-面积统计表'!$D$6)=0,"",SUM(T25)-SUM(W25)-SUM(Y25))</f>
        <v/>
      </c>
      <c r="Y25" s="95">
        <f>IF(SUM('附表1-面积统计表'!$D$6)=0,SUM(T25)-SUM(W25),IF('附表1-面积统计表'!$D$29=0,"",IF(AND(V25="共同成本费用",Z25="总建筑面积法"),ROUND(T25/'附表1-面积统计表'!$D$29*'附表1-面积统计表'!$D$7,2),IF(AND(V25="共同成本费用",Z25="可售建筑面积法"),ROUND(T25/'附表1-面积统计表'!$F$29*'附表1-面积统计表'!$F$7,2),"请手工填写"))))</f>
        <v>0</v>
      </c>
      <c r="Z25" s="99" t="s">
        <v>260</v>
      </c>
      <c r="AA25" s="83"/>
      <c r="AB25" s="100" t="s">
        <v>347</v>
      </c>
    </row>
    <row r="26" spans="1:28">
      <c r="A26" s="80">
        <v>20</v>
      </c>
      <c r="B26" s="81"/>
      <c r="C26" s="82"/>
      <c r="D26" s="83"/>
      <c r="E26" s="84"/>
      <c r="F26" s="83"/>
      <c r="G26" s="82"/>
      <c r="H26" s="83" t="str">
        <f>IF(G26="","",VLOOKUP(G26,'附表8-合同明细采集底稿'!B:H,2,0))</f>
        <v/>
      </c>
      <c r="I26" s="53" t="str">
        <f>IF(G26="","",VLOOKUP(G26,'附表8-合同明细采集底稿'!B:H,3,0))</f>
        <v/>
      </c>
      <c r="J26" s="83" t="str">
        <f>IF(G26="","",VLOOKUP(G26,'附表8-合同明细采集底稿'!B:H,4,0))</f>
        <v/>
      </c>
      <c r="K26" s="83"/>
      <c r="L26" s="82"/>
      <c r="M26" s="82"/>
      <c r="N26" s="90"/>
      <c r="O26" s="90"/>
      <c r="P26" s="90"/>
      <c r="Q26" s="90"/>
      <c r="R26" s="90">
        <f t="shared" si="4"/>
        <v>0</v>
      </c>
      <c r="S26" s="93">
        <f>IFERROR(VLOOKUP(G26,'附表8-合同明细采集底稿'!B:M,12,0),100%)</f>
        <v>1</v>
      </c>
      <c r="T26" s="90">
        <f t="shared" si="5"/>
        <v>0</v>
      </c>
      <c r="U26" s="83"/>
      <c r="V26" s="94" t="s">
        <v>275</v>
      </c>
      <c r="W26" s="95" t="str">
        <f>IF('附表1-面积统计表'!$D$29=0,"",IF(AND(V26="共同成本费用",Z26="总建筑面积法"),ROUND(T26/'附表1-面积统计表'!$D$29*'附表1-面积统计表'!$D$5,2),IF(AND(V26="共同成本费用",Z26="可售建筑面积法"),ROUND(T26/'附表1-面积统计表'!$F$29*'附表1-面积统计表'!$F$5,2),"请手工填写")))</f>
        <v/>
      </c>
      <c r="X26" s="95" t="str">
        <f>IF(SUM('附表1-面积统计表'!$D$6)=0,"",SUM(T26)-SUM(W26)-SUM(Y26))</f>
        <v/>
      </c>
      <c r="Y26" s="95">
        <f>IF(SUM('附表1-面积统计表'!$D$6)=0,SUM(T26)-SUM(W26),IF('附表1-面积统计表'!$D$29=0,"",IF(AND(V26="共同成本费用",Z26="总建筑面积法"),ROUND(T26/'附表1-面积统计表'!$D$29*'附表1-面积统计表'!$D$7,2),IF(AND(V26="共同成本费用",Z26="可售建筑面积法"),ROUND(T26/'附表1-面积统计表'!$F$29*'附表1-面积统计表'!$F$7,2),"请手工填写"))))</f>
        <v>0</v>
      </c>
      <c r="Z26" s="99" t="s">
        <v>260</v>
      </c>
      <c r="AA26" s="83"/>
      <c r="AB26" s="100" t="s">
        <v>347</v>
      </c>
    </row>
    <row r="27" spans="1:28">
      <c r="A27" s="80">
        <v>21</v>
      </c>
      <c r="B27" s="81"/>
      <c r="C27" s="82"/>
      <c r="D27" s="83"/>
      <c r="E27" s="84"/>
      <c r="F27" s="83"/>
      <c r="G27" s="82"/>
      <c r="H27" s="83" t="str">
        <f>IF(G27="","",VLOOKUP(G27,'附表8-合同明细采集底稿'!B:H,2,0))</f>
        <v/>
      </c>
      <c r="I27" s="53" t="str">
        <f>IF(G27="","",VLOOKUP(G27,'附表8-合同明细采集底稿'!B:H,3,0))</f>
        <v/>
      </c>
      <c r="J27" s="83" t="str">
        <f>IF(G27="","",VLOOKUP(G27,'附表8-合同明细采集底稿'!B:H,4,0))</f>
        <v/>
      </c>
      <c r="K27" s="83"/>
      <c r="L27" s="82"/>
      <c r="M27" s="82"/>
      <c r="N27" s="90"/>
      <c r="O27" s="90"/>
      <c r="P27" s="90"/>
      <c r="Q27" s="90"/>
      <c r="R27" s="90">
        <f t="shared" si="4"/>
        <v>0</v>
      </c>
      <c r="S27" s="93">
        <f>IFERROR(VLOOKUP(G27,'附表8-合同明细采集底稿'!B:M,12,0),100%)</f>
        <v>1</v>
      </c>
      <c r="T27" s="90">
        <f t="shared" si="5"/>
        <v>0</v>
      </c>
      <c r="U27" s="83"/>
      <c r="V27" s="94" t="s">
        <v>275</v>
      </c>
      <c r="W27" s="95" t="str">
        <f>IF('附表1-面积统计表'!$D$29=0,"",IF(AND(V27="共同成本费用",Z27="总建筑面积法"),ROUND(T27/'附表1-面积统计表'!$D$29*'附表1-面积统计表'!$D$5,2),IF(AND(V27="共同成本费用",Z27="可售建筑面积法"),ROUND(T27/'附表1-面积统计表'!$F$29*'附表1-面积统计表'!$F$5,2),"请手工填写")))</f>
        <v/>
      </c>
      <c r="X27" s="95" t="str">
        <f>IF(SUM('附表1-面积统计表'!$D$6)=0,"",SUM(T27)-SUM(W27)-SUM(Y27))</f>
        <v/>
      </c>
      <c r="Y27" s="95">
        <f>IF(SUM('附表1-面积统计表'!$D$6)=0,SUM(T27)-SUM(W27),IF('附表1-面积统计表'!$D$29=0,"",IF(AND(V27="共同成本费用",Z27="总建筑面积法"),ROUND(T27/'附表1-面积统计表'!$D$29*'附表1-面积统计表'!$D$7,2),IF(AND(V27="共同成本费用",Z27="可售建筑面积法"),ROUND(T27/'附表1-面积统计表'!$F$29*'附表1-面积统计表'!$F$7,2),"请手工填写"))))</f>
        <v>0</v>
      </c>
      <c r="Z27" s="99" t="s">
        <v>260</v>
      </c>
      <c r="AA27" s="83"/>
      <c r="AB27" s="100" t="s">
        <v>347</v>
      </c>
    </row>
    <row r="28" spans="1:28">
      <c r="A28" s="80">
        <v>22</v>
      </c>
      <c r="B28" s="81"/>
      <c r="C28" s="82"/>
      <c r="D28" s="83"/>
      <c r="E28" s="84"/>
      <c r="F28" s="83"/>
      <c r="G28" s="82"/>
      <c r="H28" s="83" t="str">
        <f>IF(G28="","",VLOOKUP(G28,'附表8-合同明细采集底稿'!B:H,2,0))</f>
        <v/>
      </c>
      <c r="I28" s="53" t="str">
        <f>IF(G28="","",VLOOKUP(G28,'附表8-合同明细采集底稿'!B:H,3,0))</f>
        <v/>
      </c>
      <c r="J28" s="83" t="str">
        <f>IF(G28="","",VLOOKUP(G28,'附表8-合同明细采集底稿'!B:H,4,0))</f>
        <v/>
      </c>
      <c r="K28" s="83"/>
      <c r="L28" s="82"/>
      <c r="M28" s="82"/>
      <c r="N28" s="90"/>
      <c r="O28" s="90"/>
      <c r="P28" s="90"/>
      <c r="Q28" s="90"/>
      <c r="R28" s="90">
        <f t="shared" si="4"/>
        <v>0</v>
      </c>
      <c r="S28" s="93">
        <f>IFERROR(VLOOKUP(G28,'附表8-合同明细采集底稿'!B:M,12,0),100%)</f>
        <v>1</v>
      </c>
      <c r="T28" s="90">
        <f t="shared" si="5"/>
        <v>0</v>
      </c>
      <c r="U28" s="83"/>
      <c r="V28" s="94" t="s">
        <v>275</v>
      </c>
      <c r="W28" s="95" t="str">
        <f>IF('附表1-面积统计表'!$D$29=0,"",IF(AND(V28="共同成本费用",Z28="总建筑面积法"),ROUND(T28/'附表1-面积统计表'!$D$29*'附表1-面积统计表'!$D$5,2),IF(AND(V28="共同成本费用",Z28="可售建筑面积法"),ROUND(T28/'附表1-面积统计表'!$F$29*'附表1-面积统计表'!$F$5,2),"请手工填写")))</f>
        <v/>
      </c>
      <c r="X28" s="95" t="str">
        <f>IF(SUM('附表1-面积统计表'!$D$6)=0,"",SUM(T28)-SUM(W28)-SUM(Y28))</f>
        <v/>
      </c>
      <c r="Y28" s="95">
        <f>IF(SUM('附表1-面积统计表'!$D$6)=0,SUM(T28)-SUM(W28),IF('附表1-面积统计表'!$D$29=0,"",IF(AND(V28="共同成本费用",Z28="总建筑面积法"),ROUND(T28/'附表1-面积统计表'!$D$29*'附表1-面积统计表'!$D$7,2),IF(AND(V28="共同成本费用",Z28="可售建筑面积法"),ROUND(T28/'附表1-面积统计表'!$F$29*'附表1-面积统计表'!$F$7,2),"请手工填写"))))</f>
        <v>0</v>
      </c>
      <c r="Z28" s="99" t="s">
        <v>260</v>
      </c>
      <c r="AA28" s="83"/>
      <c r="AB28" s="100" t="s">
        <v>347</v>
      </c>
    </row>
  </sheetData>
  <autoFilter ref="A6:ID28">
    <extLst/>
  </autoFilter>
  <mergeCells count="2">
    <mergeCell ref="A1:AB1"/>
    <mergeCell ref="A2:AB2"/>
  </mergeCells>
  <dataValidations count="9">
    <dataValidation type="list" allowBlank="1" showInputMessage="1" showErrorMessage="1" sqref="E7:E1048576">
      <formula1>OFFSET(数据对照表!$B$2,,MATCH($D7,数据对照表!$B$1:$I$1,0)-1,COUNTA(OFFSET(数据对照表!$B$2,,MATCH($D7,数据对照表!$B$1:$I$1,0)-1,255)))</formula1>
    </dataValidation>
    <dataValidation type="list" allowBlank="1" showInputMessage="1" showErrorMessage="1" sqref="D7:D1048576">
      <formula1>OFFSET(数据对照表!$B$1,,,1,COUNTA(数据对照表!$B$1:$I$1))</formula1>
    </dataValidation>
    <dataValidation type="list" allowBlank="1" showInputMessage="1" showErrorMessage="1" sqref="K7:K1048576">
      <formula1>OFFSET(数据对照表!$J$2,,,COUNTA(数据对照表!J:J)-1,1)</formula1>
    </dataValidation>
    <dataValidation type="list" showInputMessage="1" showErrorMessage="1" sqref="G7:G1048576">
      <formula1>OFFSET('附表8-合同明细采集底稿'!$B$6,,,COUNTA('附表8-合同明细采集底稿'!$B$6:$B$253),1)</formula1>
    </dataValidation>
    <dataValidation type="list" allowBlank="1" showInputMessage="1" showErrorMessage="1" sqref="V7:V1048576">
      <formula1>OFFSET(数据对照表!$K$1,,,1,COUNTA(数据对照表!$K$1:$L$1))</formula1>
    </dataValidation>
    <dataValidation allowBlank="1" showInputMessage="1" sqref="H7:H28 J7:J28"/>
    <dataValidation type="list" allowBlank="1" showInputMessage="1" showErrorMessage="1" sqref="I7:I1048576">
      <formula1>OFFSET(数据对照表!$U$2,,,COUNTA(数据对照表!U:U)-1,1)</formula1>
    </dataValidation>
    <dataValidation type="list" allowBlank="1" showInputMessage="1" showErrorMessage="1" sqref="Z7:Z1048576">
      <formula1>OFFSET(数据对照表!$K$2,,MATCH($V7,数据对照表!$K$1:$L$1,0)-1,COUNTA(OFFSET(数据对照表!$K$2,,MATCH($V7,数据对照表!$K$1:$L$1,0)-1,255)))</formula1>
    </dataValidation>
    <dataValidation type="list" allowBlank="1" showInputMessage="1" showErrorMessage="1" sqref="AB7:AB1048576">
      <formula1>OFFSET(数据对照表!$M$2,,MATCH($D7,数据对照表!$M$1:$T$1,0)-1,COUNTA(OFFSET(数据对照表!$M$2,,MATCH($D7,数据对照表!$M$1:$T$1,0)-1,255)))</formula1>
    </dataValidation>
  </dataValidations>
  <printOptions horizontalCentered="1"/>
  <pageMargins left="0.747916666666667" right="0.511805555555556" top="0.984027777777778" bottom="0.984027777777778" header="0.511805555555556" footer="0.511805555555556"/>
  <pageSetup paperSize="9" scale="40" fitToHeight="0" orientation="landscape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6"/>
  <sheetViews>
    <sheetView zoomScale="128" zoomScaleNormal="128" topLeftCell="I1" workbookViewId="0">
      <selection activeCell="P22" sqref="P22"/>
    </sheetView>
  </sheetViews>
  <sheetFormatPr defaultColWidth="8.875" defaultRowHeight="14.25"/>
  <cols>
    <col min="1" max="1" width="5.625" style="43" customWidth="1"/>
    <col min="2" max="3" width="9.375" style="43" customWidth="1"/>
    <col min="4" max="4" width="9.375" style="44" customWidth="1"/>
    <col min="5" max="5" width="9.375" style="19" customWidth="1"/>
    <col min="6" max="6" width="13" style="19" customWidth="1"/>
    <col min="7" max="7" width="11.25" style="45" customWidth="1"/>
    <col min="8" max="8" width="9.375" style="45" customWidth="1"/>
    <col min="9" max="10" width="11.125" style="43" customWidth="1"/>
    <col min="11" max="11" width="13.75" style="43" customWidth="1"/>
    <col min="12" max="12" width="16.75" style="43" customWidth="1"/>
    <col min="13" max="13" width="15.875" style="46" customWidth="1"/>
    <col min="14" max="14" width="13" style="19" customWidth="1"/>
    <col min="15" max="15" width="9.375" style="43" customWidth="1"/>
    <col min="16" max="16" width="11.25" style="19" customWidth="1"/>
    <col min="17" max="17" width="14.375" style="19" customWidth="1"/>
    <col min="18" max="18" width="5.625" style="19" customWidth="1"/>
    <col min="19" max="20" width="9" style="43"/>
    <col min="21" max="21" width="9" style="43" customWidth="1"/>
    <col min="22" max="28" width="8.875" style="43"/>
    <col min="29" max="16384" width="8.875" style="19"/>
  </cols>
  <sheetData>
    <row r="1" ht="21" spans="1:28">
      <c r="A1" s="47" t="str">
        <f>目录!A12&amp;目录!B12</f>
        <v>T23220附表8-合同明细采集底稿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="39" customFormat="1" ht="15" spans="1:28">
      <c r="A2" s="48" t="str">
        <f>土地增值税税源明细表!F5&amp;"："&amp;土地增值税税源明细表!H5&amp;"          "&amp;土地增值税税源明细表!A5&amp;"："&amp;土地增值税税源明细表!B5&amp;"          "&amp;"金额单位:人民币元(列至角分)"</f>
        <v>项目编码：          项目名称：          金额单位:人民币元(列至角分)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="40" customFormat="1" ht="13.5" spans="1:28">
      <c r="A3" s="49" t="s">
        <v>67</v>
      </c>
      <c r="B3" s="49" t="s">
        <v>348</v>
      </c>
      <c r="C3" s="49" t="s">
        <v>349</v>
      </c>
      <c r="D3" s="49" t="s">
        <v>322</v>
      </c>
      <c r="E3" s="49" t="s">
        <v>350</v>
      </c>
      <c r="F3" s="49" t="s">
        <v>351</v>
      </c>
      <c r="G3" s="49" t="s">
        <v>299</v>
      </c>
      <c r="H3" s="49" t="s">
        <v>352</v>
      </c>
      <c r="I3" s="49" t="s">
        <v>353</v>
      </c>
      <c r="J3" s="49" t="s">
        <v>354</v>
      </c>
      <c r="K3" s="49" t="s">
        <v>355</v>
      </c>
      <c r="L3" s="56" t="s">
        <v>356</v>
      </c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="41" customFormat="1" ht="27" spans="1:28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57" t="s">
        <v>357</v>
      </c>
      <c r="M4" s="58" t="s">
        <v>358</v>
      </c>
      <c r="N4" s="57" t="s">
        <v>359</v>
      </c>
      <c r="O4" s="57" t="s">
        <v>360</v>
      </c>
      <c r="P4" s="57" t="s">
        <v>361</v>
      </c>
      <c r="Q4" s="57" t="s">
        <v>362</v>
      </c>
      <c r="R4" s="57" t="s">
        <v>271</v>
      </c>
      <c r="S4" s="57" t="s">
        <v>363</v>
      </c>
      <c r="T4" s="57"/>
      <c r="U4" s="57"/>
      <c r="V4" s="57"/>
      <c r="W4" s="57"/>
      <c r="X4" s="57"/>
      <c r="Y4" s="57"/>
      <c r="Z4" s="57"/>
      <c r="AA4" s="57"/>
      <c r="AB4" s="57"/>
    </row>
    <row r="5" s="42" customFormat="1" ht="13.5" spans="1:28">
      <c r="A5" s="50"/>
      <c r="B5" s="374" t="s">
        <v>213</v>
      </c>
      <c r="C5" s="374" t="s">
        <v>206</v>
      </c>
      <c r="D5" s="374" t="s">
        <v>207</v>
      </c>
      <c r="E5" s="374" t="s">
        <v>208</v>
      </c>
      <c r="F5" s="374" t="s">
        <v>214</v>
      </c>
      <c r="G5" s="374" t="s">
        <v>210</v>
      </c>
      <c r="H5" s="374" t="s">
        <v>211</v>
      </c>
      <c r="I5" s="374" t="s">
        <v>212</v>
      </c>
      <c r="J5" s="374" t="s">
        <v>215</v>
      </c>
      <c r="K5" s="374" t="s">
        <v>216</v>
      </c>
      <c r="L5" s="374" t="s">
        <v>217</v>
      </c>
      <c r="M5" s="374" t="s">
        <v>218</v>
      </c>
      <c r="N5" s="374" t="s">
        <v>219</v>
      </c>
      <c r="O5" s="374" t="s">
        <v>220</v>
      </c>
      <c r="P5" s="374" t="s">
        <v>221</v>
      </c>
      <c r="Q5" s="374" t="s">
        <v>364</v>
      </c>
      <c r="R5" s="374" t="s">
        <v>223</v>
      </c>
      <c r="S5" s="62" t="s">
        <v>365</v>
      </c>
      <c r="T5" s="62" t="s">
        <v>366</v>
      </c>
      <c r="U5" s="62" t="s">
        <v>367</v>
      </c>
      <c r="V5" s="62" t="s">
        <v>368</v>
      </c>
      <c r="W5" s="62" t="s">
        <v>369</v>
      </c>
      <c r="X5" s="62" t="s">
        <v>370</v>
      </c>
      <c r="Y5" s="62" t="s">
        <v>371</v>
      </c>
      <c r="Z5" s="62" t="s">
        <v>372</v>
      </c>
      <c r="AA5" s="62" t="s">
        <v>373</v>
      </c>
      <c r="AB5" s="62" t="s">
        <v>374</v>
      </c>
    </row>
    <row r="6" spans="1:28">
      <c r="A6" s="51">
        <v>1</v>
      </c>
      <c r="B6" s="52"/>
      <c r="C6" s="52"/>
      <c r="D6" s="53"/>
      <c r="E6" s="52"/>
      <c r="F6" s="54"/>
      <c r="G6" s="55"/>
      <c r="H6" s="55"/>
      <c r="I6" s="59"/>
      <c r="J6" s="59"/>
      <c r="K6" s="59"/>
      <c r="L6" s="59"/>
      <c r="M6" s="60">
        <f>IFERROR(IF(COUNTIFS(S6:AV6,清算项目基本情况表!$D$6)&gt;=1,IF(L6="占地面积法",ROUND(SUM('附表4-项目间分摊信息采集表'!$E$5)/SUMPRODUCT(SUMIFS('附表4-项目间分摊信息采集表'!$E:$E,'附表4-项目间分摊信息采集表'!$B:$B,S6:AV6)),20),IF(L6="测绘总建筑面积法",ROUND(SUM('附表4-项目间分摊信息采集表'!$F$5)/SUMPRODUCT(SUMIFS('附表4-项目间分摊信息采集表'!$F:$F,'附表4-项目间分摊信息采集表'!$B:$B,S6:AV6)),20),IF(L6="可售建筑面积法",ROUND(SUM('附表4-项目间分摊信息采集表'!$G$5)/SUMPRODUCT(SUMIFS('附表4-项目间分摊信息采集表'!$G:$G,'附表4-项目间分摊信息采集表'!$B:$B,S6:AV6)),20),IF(L6="其他分摊方法",ROUND(SUM('附表4-项目间分摊信息采集表'!$H$5)/SUMPRODUCT(SUMIFS('附表4-项目间分摊信息采集表'!$H:$H,'附表4-项目间分摊信息采集表'!$B:$B,S6:AV6)),20),IF(L6="手工填写分摊比例","请填写分摊比例",100%))))),IF(COUNTA(S6:AV6)&gt;=1,0%,100%)),100%)</f>
        <v>1</v>
      </c>
      <c r="N6" s="55">
        <f>SUMIFS('附表7-扣除项目明细采集底稿'!$R:$R,'附表7-扣除项目明细采集底稿'!$G:$G,B6)</f>
        <v>0</v>
      </c>
      <c r="O6" s="59" t="s">
        <v>192</v>
      </c>
      <c r="P6" s="61">
        <f>SUMIFS('附表7-扣除项目明细采集底稿'!$T:$T,'附表7-扣除项目明细采集底稿'!$G:$G,$B6)</f>
        <v>0</v>
      </c>
      <c r="Q6" s="63">
        <f>ROUND(SUM(N6)-SUM(O6)-SUM(P6),2)</f>
        <v>0</v>
      </c>
      <c r="R6" s="64"/>
      <c r="S6" s="59"/>
      <c r="T6" s="59"/>
      <c r="U6" s="59"/>
      <c r="V6" s="59"/>
      <c r="W6" s="59"/>
      <c r="X6" s="59"/>
      <c r="Y6" s="59"/>
      <c r="Z6" s="59"/>
      <c r="AA6" s="59"/>
      <c r="AB6" s="59"/>
    </row>
    <row r="7" spans="1:28">
      <c r="A7" s="51">
        <v>2</v>
      </c>
      <c r="B7" s="52"/>
      <c r="C7" s="52"/>
      <c r="D7" s="53"/>
      <c r="E7" s="52"/>
      <c r="F7" s="54"/>
      <c r="G7" s="55"/>
      <c r="H7" s="55"/>
      <c r="I7" s="59"/>
      <c r="J7" s="59"/>
      <c r="K7" s="59"/>
      <c r="L7" s="59"/>
      <c r="M7" s="60">
        <f>IFERROR(IF(COUNTIFS(S7:AV7,清算项目基本情况表!$D$6)&gt;=1,IF(L7="占地面积法",ROUND(SUM('附表4-项目间分摊信息采集表'!$E$5)/SUMPRODUCT(SUMIFS('附表4-项目间分摊信息采集表'!$E:$E,'附表4-项目间分摊信息采集表'!$B:$B,S7:AV7)),20),IF(L7="测绘总建筑面积法",ROUND(SUM('附表4-项目间分摊信息采集表'!$F$5)/SUMPRODUCT(SUMIFS('附表4-项目间分摊信息采集表'!$F:$F,'附表4-项目间分摊信息采集表'!$B:$B,S7:AV7)),20),IF(L7="可售建筑面积法",ROUND(SUM('附表4-项目间分摊信息采集表'!$G$5)/SUMPRODUCT(SUMIFS('附表4-项目间分摊信息采集表'!$G:$G,'附表4-项目间分摊信息采集表'!$B:$B,S7:AV7)),20),IF(L7="其他分摊方法",ROUND(SUM('附表4-项目间分摊信息采集表'!$H$5)/SUMPRODUCT(SUMIFS('附表4-项目间分摊信息采集表'!$H:$H,'附表4-项目间分摊信息采集表'!$B:$B,S7:AV7)),20),IF(L7="手工填写分摊比例","请填写分摊比例",100%))))),IF(COUNTA(S7:AV7)&gt;=1,0%,100%)),100%)</f>
        <v>1</v>
      </c>
      <c r="N7" s="55">
        <f>SUMIFS('附表7-扣除项目明细采集底稿'!$R:$R,'附表7-扣除项目明细采集底稿'!$G:$G,B7)</f>
        <v>0</v>
      </c>
      <c r="O7" s="59" t="s">
        <v>192</v>
      </c>
      <c r="P7" s="61">
        <f>SUMIFS('附表7-扣除项目明细采集底稿'!$T:$T,'附表7-扣除项目明细采集底稿'!$G:$G,$B7)</f>
        <v>0</v>
      </c>
      <c r="Q7" s="63">
        <f t="shared" ref="Q7:Q16" si="0">ROUND(SUM(N7)-SUM(O7)-SUM(P7),2)</f>
        <v>0</v>
      </c>
      <c r="R7" s="64"/>
      <c r="S7" s="59"/>
      <c r="T7" s="59"/>
      <c r="U7" s="59"/>
      <c r="V7" s="59"/>
      <c r="W7" s="59"/>
      <c r="X7" s="59"/>
      <c r="Y7" s="59"/>
      <c r="Z7" s="59"/>
      <c r="AA7" s="59"/>
      <c r="AB7" s="59"/>
    </row>
    <row r="8" spans="1:28">
      <c r="A8" s="51">
        <v>3</v>
      </c>
      <c r="B8" s="52"/>
      <c r="C8" s="52"/>
      <c r="D8" s="53"/>
      <c r="E8" s="52"/>
      <c r="F8" s="54"/>
      <c r="G8" s="55"/>
      <c r="H8" s="55"/>
      <c r="I8" s="59"/>
      <c r="J8" s="59"/>
      <c r="K8" s="59"/>
      <c r="L8" s="59"/>
      <c r="M8" s="60">
        <f>IFERROR(IF(COUNTIFS(S8:AV8,清算项目基本情况表!$D$6)&gt;=1,IF(L8="占地面积法",ROUND(SUM('附表4-项目间分摊信息采集表'!$E$5)/SUMPRODUCT(SUMIFS('附表4-项目间分摊信息采集表'!$E:$E,'附表4-项目间分摊信息采集表'!$B:$B,S8:AV8)),20),IF(L8="测绘总建筑面积法",ROUND(SUM('附表4-项目间分摊信息采集表'!$F$5)/SUMPRODUCT(SUMIFS('附表4-项目间分摊信息采集表'!$F:$F,'附表4-项目间分摊信息采集表'!$B:$B,S8:AV8)),20),IF(L8="可售建筑面积法",ROUND(SUM('附表4-项目间分摊信息采集表'!$G$5)/SUMPRODUCT(SUMIFS('附表4-项目间分摊信息采集表'!$G:$G,'附表4-项目间分摊信息采集表'!$B:$B,S8:AV8)),20),IF(L8="其他分摊方法",ROUND(SUM('附表4-项目间分摊信息采集表'!$H$5)/SUMPRODUCT(SUMIFS('附表4-项目间分摊信息采集表'!$H:$H,'附表4-项目间分摊信息采集表'!$B:$B,S8:AV8)),20),IF(L8="手工填写分摊比例","请填写分摊比例",100%))))),IF(COUNTA(S8:AV8)&gt;=1,0%,100%)),100%)</f>
        <v>1</v>
      </c>
      <c r="N8" s="55">
        <f>SUMIFS('附表7-扣除项目明细采集底稿'!$R:$R,'附表7-扣除项目明细采集底稿'!$G:$G,B8)</f>
        <v>0</v>
      </c>
      <c r="O8" s="59" t="s">
        <v>192</v>
      </c>
      <c r="P8" s="61">
        <f>SUMIFS('附表7-扣除项目明细采集底稿'!$T:$T,'附表7-扣除项目明细采集底稿'!$G:$G,$B8)</f>
        <v>0</v>
      </c>
      <c r="Q8" s="63">
        <f t="shared" si="0"/>
        <v>0</v>
      </c>
      <c r="R8" s="64"/>
      <c r="S8" s="59"/>
      <c r="T8" s="59"/>
      <c r="U8" s="59"/>
      <c r="V8" s="59"/>
      <c r="W8" s="59"/>
      <c r="X8" s="59"/>
      <c r="Y8" s="59"/>
      <c r="Z8" s="59"/>
      <c r="AA8" s="59"/>
      <c r="AB8" s="59"/>
    </row>
    <row r="9" spans="1:28">
      <c r="A9" s="51">
        <v>4</v>
      </c>
      <c r="B9" s="52"/>
      <c r="C9" s="52"/>
      <c r="D9" s="53"/>
      <c r="E9" s="52"/>
      <c r="F9" s="54"/>
      <c r="G9" s="55"/>
      <c r="H9" s="55"/>
      <c r="I9" s="59"/>
      <c r="J9" s="59"/>
      <c r="K9" s="59"/>
      <c r="L9" s="59"/>
      <c r="M9" s="60">
        <f>IFERROR(IF(COUNTIFS(S9:AV9,清算项目基本情况表!$D$6)&gt;=1,IF(L9="占地面积法",ROUND(SUM('附表4-项目间分摊信息采集表'!$E$5)/SUMPRODUCT(SUMIFS('附表4-项目间分摊信息采集表'!$E:$E,'附表4-项目间分摊信息采集表'!$B:$B,S9:AV9)),20),IF(L9="测绘总建筑面积法",ROUND(SUM('附表4-项目间分摊信息采集表'!$F$5)/SUMPRODUCT(SUMIFS('附表4-项目间分摊信息采集表'!$F:$F,'附表4-项目间分摊信息采集表'!$B:$B,S9:AV9)),20),IF(L9="可售建筑面积法",ROUND(SUM('附表4-项目间分摊信息采集表'!$G$5)/SUMPRODUCT(SUMIFS('附表4-项目间分摊信息采集表'!$G:$G,'附表4-项目间分摊信息采集表'!$B:$B,S9:AV9)),20),IF(L9="其他分摊方法",ROUND(SUM('附表4-项目间分摊信息采集表'!$H$5)/SUMPRODUCT(SUMIFS('附表4-项目间分摊信息采集表'!$H:$H,'附表4-项目间分摊信息采集表'!$B:$B,S9:AV9)),20),IF(L9="手工填写分摊比例","请填写分摊比例",100%))))),IF(COUNTA(S9:AV9)&gt;=1,0%,100%)),100%)</f>
        <v>1</v>
      </c>
      <c r="N9" s="55">
        <f>SUMIFS('附表7-扣除项目明细采集底稿'!$R:$R,'附表7-扣除项目明细采集底稿'!$G:$G,B9)</f>
        <v>0</v>
      </c>
      <c r="O9" s="59" t="s">
        <v>192</v>
      </c>
      <c r="P9" s="61">
        <f>SUMIFS('附表7-扣除项目明细采集底稿'!$T:$T,'附表7-扣除项目明细采集底稿'!$G:$G,$B9)</f>
        <v>0</v>
      </c>
      <c r="Q9" s="63">
        <f t="shared" si="0"/>
        <v>0</v>
      </c>
      <c r="R9" s="64"/>
      <c r="S9" s="59"/>
      <c r="T9" s="59"/>
      <c r="U9" s="59"/>
      <c r="V9" s="59"/>
      <c r="W9" s="59"/>
      <c r="X9" s="59"/>
      <c r="Y9" s="59"/>
      <c r="Z9" s="59"/>
      <c r="AA9" s="59"/>
      <c r="AB9" s="59"/>
    </row>
    <row r="10" spans="1:28">
      <c r="A10" s="51">
        <v>5</v>
      </c>
      <c r="B10" s="52"/>
      <c r="C10" s="52"/>
      <c r="D10" s="53"/>
      <c r="E10" s="52"/>
      <c r="F10" s="54"/>
      <c r="G10" s="55"/>
      <c r="H10" s="55"/>
      <c r="I10" s="59"/>
      <c r="J10" s="59"/>
      <c r="K10" s="59"/>
      <c r="L10" s="59"/>
      <c r="M10" s="60">
        <f>IFERROR(IF(COUNTIFS(S10:AV10,清算项目基本情况表!$D$6)&gt;=1,IF(L10="占地面积法",ROUND(SUM('附表4-项目间分摊信息采集表'!$E$5)/SUMPRODUCT(SUMIFS('附表4-项目间分摊信息采集表'!$E:$E,'附表4-项目间分摊信息采集表'!$B:$B,S10:AV10)),20),IF(L10="测绘总建筑面积法",ROUND(SUM('附表4-项目间分摊信息采集表'!$F$5)/SUMPRODUCT(SUMIFS('附表4-项目间分摊信息采集表'!$F:$F,'附表4-项目间分摊信息采集表'!$B:$B,S10:AV10)),20),IF(L10="可售建筑面积法",ROUND(SUM('附表4-项目间分摊信息采集表'!$G$5)/SUMPRODUCT(SUMIFS('附表4-项目间分摊信息采集表'!$G:$G,'附表4-项目间分摊信息采集表'!$B:$B,S10:AV10)),20),IF(L10="其他分摊方法",ROUND(SUM('附表4-项目间分摊信息采集表'!$H$5)/SUMPRODUCT(SUMIFS('附表4-项目间分摊信息采集表'!$H:$H,'附表4-项目间分摊信息采集表'!$B:$B,S10:AV10)),20),IF(L10="手工填写分摊比例","请填写分摊比例",100%))))),IF(COUNTA(S10:AV10)&gt;=1,0%,100%)),100%)</f>
        <v>1</v>
      </c>
      <c r="N10" s="55">
        <f>SUMIFS('附表7-扣除项目明细采集底稿'!$R:$R,'附表7-扣除项目明细采集底稿'!$G:$G,B10)</f>
        <v>0</v>
      </c>
      <c r="O10" s="59" t="s">
        <v>192</v>
      </c>
      <c r="P10" s="61">
        <f>SUMIFS('附表7-扣除项目明细采集底稿'!$T:$T,'附表7-扣除项目明细采集底稿'!$G:$G,$B10)</f>
        <v>0</v>
      </c>
      <c r="Q10" s="63">
        <f t="shared" si="0"/>
        <v>0</v>
      </c>
      <c r="R10" s="64"/>
      <c r="S10" s="59"/>
      <c r="T10" s="59"/>
      <c r="U10" s="59"/>
      <c r="V10" s="59"/>
      <c r="W10" s="59"/>
      <c r="X10" s="59"/>
      <c r="Y10" s="59"/>
      <c r="Z10" s="59"/>
      <c r="AA10" s="59"/>
      <c r="AB10" s="59"/>
    </row>
    <row r="11" spans="1:28">
      <c r="A11" s="51">
        <v>6</v>
      </c>
      <c r="B11" s="52"/>
      <c r="C11" s="52"/>
      <c r="D11" s="53"/>
      <c r="E11" s="52"/>
      <c r="F11" s="54"/>
      <c r="G11" s="55"/>
      <c r="H11" s="55"/>
      <c r="I11" s="59"/>
      <c r="J11" s="59"/>
      <c r="K11" s="59"/>
      <c r="L11" s="59"/>
      <c r="M11" s="60">
        <f>IFERROR(IF(COUNTIFS(S11:AV11,清算项目基本情况表!$D$6)&gt;=1,IF(L11="占地面积法",ROUND(SUM('附表4-项目间分摊信息采集表'!$E$5)/SUMPRODUCT(SUMIFS('附表4-项目间分摊信息采集表'!$E:$E,'附表4-项目间分摊信息采集表'!$B:$B,S11:AV11)),20),IF(L11="测绘总建筑面积法",ROUND(SUM('附表4-项目间分摊信息采集表'!$F$5)/SUMPRODUCT(SUMIFS('附表4-项目间分摊信息采集表'!$F:$F,'附表4-项目间分摊信息采集表'!$B:$B,S11:AV11)),20),IF(L11="可售建筑面积法",ROUND(SUM('附表4-项目间分摊信息采集表'!$G$5)/SUMPRODUCT(SUMIFS('附表4-项目间分摊信息采集表'!$G:$G,'附表4-项目间分摊信息采集表'!$B:$B,S11:AV11)),20),IF(L11="其他分摊方法",ROUND(SUM('附表4-项目间分摊信息采集表'!$H$5)/SUMPRODUCT(SUMIFS('附表4-项目间分摊信息采集表'!$H:$H,'附表4-项目间分摊信息采集表'!$B:$B,S11:AV11)),20),IF(L11="手工填写分摊比例","请填写分摊比例",100%))))),IF(COUNTA(S11:AV11)&gt;=1,0%,100%)),100%)</f>
        <v>1</v>
      </c>
      <c r="N11" s="55">
        <f>SUMIFS('附表7-扣除项目明细采集底稿'!$R:$R,'附表7-扣除项目明细采集底稿'!$G:$G,B11)</f>
        <v>0</v>
      </c>
      <c r="O11" s="59" t="s">
        <v>192</v>
      </c>
      <c r="P11" s="61">
        <f>SUMIFS('附表7-扣除项目明细采集底稿'!$T:$T,'附表7-扣除项目明细采集底稿'!$G:$G,$B11)</f>
        <v>0</v>
      </c>
      <c r="Q11" s="63">
        <f t="shared" si="0"/>
        <v>0</v>
      </c>
      <c r="R11" s="64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>
      <c r="A12" s="51">
        <v>7</v>
      </c>
      <c r="B12" s="52"/>
      <c r="C12" s="52"/>
      <c r="D12" s="53"/>
      <c r="E12" s="52"/>
      <c r="F12" s="54"/>
      <c r="G12" s="55"/>
      <c r="H12" s="55"/>
      <c r="I12" s="59"/>
      <c r="J12" s="59"/>
      <c r="K12" s="59"/>
      <c r="L12" s="59"/>
      <c r="M12" s="60">
        <f>IFERROR(IF(COUNTIFS(S12:AV12,清算项目基本情况表!$D$6)&gt;=1,IF(L12="占地面积法",ROUND(SUM('附表4-项目间分摊信息采集表'!$E$5)/SUMPRODUCT(SUMIFS('附表4-项目间分摊信息采集表'!$E:$E,'附表4-项目间分摊信息采集表'!$B:$B,S12:AV12)),20),IF(L12="测绘总建筑面积法",ROUND(SUM('附表4-项目间分摊信息采集表'!$F$5)/SUMPRODUCT(SUMIFS('附表4-项目间分摊信息采集表'!$F:$F,'附表4-项目间分摊信息采集表'!$B:$B,S12:AV12)),20),IF(L12="可售建筑面积法",ROUND(SUM('附表4-项目间分摊信息采集表'!$G$5)/SUMPRODUCT(SUMIFS('附表4-项目间分摊信息采集表'!$G:$G,'附表4-项目间分摊信息采集表'!$B:$B,S12:AV12)),20),IF(L12="其他分摊方法",ROUND(SUM('附表4-项目间分摊信息采集表'!$H$5)/SUMPRODUCT(SUMIFS('附表4-项目间分摊信息采集表'!$H:$H,'附表4-项目间分摊信息采集表'!$B:$B,S12:AV12)),20),IF(L12="手工填写分摊比例","请填写分摊比例",100%))))),IF(COUNTA(S12:AV12)&gt;=1,0%,100%)),100%)</f>
        <v>1</v>
      </c>
      <c r="N12" s="55">
        <f>SUMIFS('附表7-扣除项目明细采集底稿'!$R:$R,'附表7-扣除项目明细采集底稿'!$G:$G,B12)</f>
        <v>0</v>
      </c>
      <c r="O12" s="59" t="s">
        <v>192</v>
      </c>
      <c r="P12" s="61">
        <f>SUMIFS('附表7-扣除项目明细采集底稿'!$T:$T,'附表7-扣除项目明细采集底稿'!$G:$G,$B12)</f>
        <v>0</v>
      </c>
      <c r="Q12" s="63">
        <f t="shared" si="0"/>
        <v>0</v>
      </c>
      <c r="R12" s="64"/>
      <c r="S12" s="59"/>
      <c r="T12" s="59"/>
      <c r="U12" s="59"/>
      <c r="V12" s="59"/>
      <c r="W12" s="59"/>
      <c r="X12" s="59"/>
      <c r="Y12" s="59"/>
      <c r="Z12" s="59"/>
      <c r="AA12" s="59"/>
      <c r="AB12" s="59"/>
    </row>
    <row r="13" spans="1:28">
      <c r="A13" s="51">
        <v>8</v>
      </c>
      <c r="B13" s="52"/>
      <c r="C13" s="52"/>
      <c r="D13" s="53"/>
      <c r="E13" s="52"/>
      <c r="F13" s="54"/>
      <c r="G13" s="55"/>
      <c r="H13" s="55"/>
      <c r="I13" s="59"/>
      <c r="J13" s="59"/>
      <c r="K13" s="59"/>
      <c r="L13" s="59"/>
      <c r="M13" s="60">
        <f>IFERROR(IF(COUNTIFS(S13:AV13,清算项目基本情况表!$D$6)&gt;=1,IF(L13="占地面积法",ROUND(SUM('附表4-项目间分摊信息采集表'!$E$5)/SUMPRODUCT(SUMIFS('附表4-项目间分摊信息采集表'!$E:$E,'附表4-项目间分摊信息采集表'!$B:$B,S13:AV13)),20),IF(L13="测绘总建筑面积法",ROUND(SUM('附表4-项目间分摊信息采集表'!$F$5)/SUMPRODUCT(SUMIFS('附表4-项目间分摊信息采集表'!$F:$F,'附表4-项目间分摊信息采集表'!$B:$B,S13:AV13)),20),IF(L13="可售建筑面积法",ROUND(SUM('附表4-项目间分摊信息采集表'!$G$5)/SUMPRODUCT(SUMIFS('附表4-项目间分摊信息采集表'!$G:$G,'附表4-项目间分摊信息采集表'!$B:$B,S13:AV13)),20),IF(L13="其他分摊方法",ROUND(SUM('附表4-项目间分摊信息采集表'!$H$5)/SUMPRODUCT(SUMIFS('附表4-项目间分摊信息采集表'!$H:$H,'附表4-项目间分摊信息采集表'!$B:$B,S13:AV13)),20),IF(L13="手工填写分摊比例","请填写分摊比例",100%))))),IF(COUNTA(S13:AV13)&gt;=1,0%,100%)),100%)</f>
        <v>1</v>
      </c>
      <c r="N13" s="55">
        <f>SUMIFS('附表7-扣除项目明细采集底稿'!$R:$R,'附表7-扣除项目明细采集底稿'!$G:$G,B13)</f>
        <v>0</v>
      </c>
      <c r="O13" s="59" t="s">
        <v>192</v>
      </c>
      <c r="P13" s="61">
        <f>SUMIFS('附表7-扣除项目明细采集底稿'!$T:$T,'附表7-扣除项目明细采集底稿'!$G:$G,$B13)</f>
        <v>0</v>
      </c>
      <c r="Q13" s="63">
        <f t="shared" si="0"/>
        <v>0</v>
      </c>
      <c r="R13" s="64"/>
      <c r="S13" s="59"/>
      <c r="T13" s="59"/>
      <c r="U13" s="59"/>
      <c r="V13" s="59"/>
      <c r="W13" s="59"/>
      <c r="X13" s="59"/>
      <c r="Y13" s="59"/>
      <c r="Z13" s="59"/>
      <c r="AA13" s="59"/>
      <c r="AB13" s="59"/>
    </row>
    <row r="14" spans="1:28">
      <c r="A14" s="51">
        <v>9</v>
      </c>
      <c r="B14" s="52"/>
      <c r="C14" s="52"/>
      <c r="D14" s="53"/>
      <c r="E14" s="52"/>
      <c r="F14" s="54"/>
      <c r="G14" s="55"/>
      <c r="H14" s="55"/>
      <c r="I14" s="59"/>
      <c r="J14" s="59"/>
      <c r="K14" s="59"/>
      <c r="L14" s="59"/>
      <c r="M14" s="60">
        <f>IFERROR(IF(COUNTIFS(S14:AV14,清算项目基本情况表!$D$6)&gt;=1,IF(L14="占地面积法",ROUND(SUM('附表4-项目间分摊信息采集表'!$E$5)/SUMPRODUCT(SUMIFS('附表4-项目间分摊信息采集表'!$E:$E,'附表4-项目间分摊信息采集表'!$B:$B,S14:AV14)),20),IF(L14="测绘总建筑面积法",ROUND(SUM('附表4-项目间分摊信息采集表'!$F$5)/SUMPRODUCT(SUMIFS('附表4-项目间分摊信息采集表'!$F:$F,'附表4-项目间分摊信息采集表'!$B:$B,S14:AV14)),20),IF(L14="可售建筑面积法",ROUND(SUM('附表4-项目间分摊信息采集表'!$G$5)/SUMPRODUCT(SUMIFS('附表4-项目间分摊信息采集表'!$G:$G,'附表4-项目间分摊信息采集表'!$B:$B,S14:AV14)),20),IF(L14="其他分摊方法",ROUND(SUM('附表4-项目间分摊信息采集表'!$H$5)/SUMPRODUCT(SUMIFS('附表4-项目间分摊信息采集表'!$H:$H,'附表4-项目间分摊信息采集表'!$B:$B,S14:AV14)),20),IF(L14="手工填写分摊比例","请填写分摊比例",100%))))),IF(COUNTA(S14:AV14)&gt;=1,0%,100%)),100%)</f>
        <v>1</v>
      </c>
      <c r="N14" s="55">
        <f>SUMIFS('附表7-扣除项目明细采集底稿'!$R:$R,'附表7-扣除项目明细采集底稿'!$G:$G,B14)</f>
        <v>0</v>
      </c>
      <c r="O14" s="59" t="s">
        <v>192</v>
      </c>
      <c r="P14" s="61">
        <f>SUMIFS('附表7-扣除项目明细采集底稿'!$T:$T,'附表7-扣除项目明细采集底稿'!$G:$G,$B14)</f>
        <v>0</v>
      </c>
      <c r="Q14" s="63">
        <f t="shared" si="0"/>
        <v>0</v>
      </c>
      <c r="R14" s="64"/>
      <c r="S14" s="59"/>
      <c r="T14" s="59"/>
      <c r="U14" s="59"/>
      <c r="V14" s="59"/>
      <c r="W14" s="59"/>
      <c r="X14" s="59"/>
      <c r="Y14" s="59"/>
      <c r="Z14" s="59"/>
      <c r="AA14" s="59"/>
      <c r="AB14" s="59"/>
    </row>
    <row r="15" spans="1:28">
      <c r="A15" s="51">
        <v>10</v>
      </c>
      <c r="B15" s="52"/>
      <c r="C15" s="52"/>
      <c r="D15" s="53"/>
      <c r="E15" s="52"/>
      <c r="F15" s="54"/>
      <c r="G15" s="55"/>
      <c r="H15" s="55"/>
      <c r="I15" s="59"/>
      <c r="J15" s="59"/>
      <c r="K15" s="59"/>
      <c r="L15" s="59"/>
      <c r="M15" s="60">
        <f>IFERROR(IF(COUNTIFS(S15:AV15,清算项目基本情况表!$D$6)&gt;=1,IF(L15="占地面积法",ROUND(SUM('附表4-项目间分摊信息采集表'!$E$5)/SUMPRODUCT(SUMIFS('附表4-项目间分摊信息采集表'!$E:$E,'附表4-项目间分摊信息采集表'!$B:$B,S15:AV15)),20),IF(L15="测绘总建筑面积法",ROUND(SUM('附表4-项目间分摊信息采集表'!$F$5)/SUMPRODUCT(SUMIFS('附表4-项目间分摊信息采集表'!$F:$F,'附表4-项目间分摊信息采集表'!$B:$B,S15:AV15)),20),IF(L15="可售建筑面积法",ROUND(SUM('附表4-项目间分摊信息采集表'!$G$5)/SUMPRODUCT(SUMIFS('附表4-项目间分摊信息采集表'!$G:$G,'附表4-项目间分摊信息采集表'!$B:$B,S15:AV15)),20),IF(L15="其他分摊方法",ROUND(SUM('附表4-项目间分摊信息采集表'!$H$5)/SUMPRODUCT(SUMIFS('附表4-项目间分摊信息采集表'!$H:$H,'附表4-项目间分摊信息采集表'!$B:$B,S15:AV15)),20),IF(L15="手工填写分摊比例","请填写分摊比例",100%))))),IF(COUNTA(S15:AV15)&gt;=1,0%,100%)),100%)</f>
        <v>1</v>
      </c>
      <c r="N15" s="55">
        <f>SUMIFS('附表7-扣除项目明细采集底稿'!$R:$R,'附表7-扣除项目明细采集底稿'!$G:$G,B15)</f>
        <v>0</v>
      </c>
      <c r="O15" s="59" t="s">
        <v>192</v>
      </c>
      <c r="P15" s="61">
        <f>SUMIFS('附表7-扣除项目明细采集底稿'!$T:$T,'附表7-扣除项目明细采集底稿'!$G:$G,$B15)</f>
        <v>0</v>
      </c>
      <c r="Q15" s="63">
        <f t="shared" si="0"/>
        <v>0</v>
      </c>
      <c r="R15" s="64"/>
      <c r="S15" s="59"/>
      <c r="T15" s="59"/>
      <c r="U15" s="59"/>
      <c r="V15" s="59"/>
      <c r="W15" s="59"/>
      <c r="X15" s="59"/>
      <c r="Y15" s="59"/>
      <c r="Z15" s="59"/>
      <c r="AA15" s="59"/>
      <c r="AB15" s="59"/>
    </row>
    <row r="16" spans="1:28">
      <c r="A16" s="51">
        <v>11</v>
      </c>
      <c r="B16" s="52"/>
      <c r="C16" s="52"/>
      <c r="D16" s="53"/>
      <c r="E16" s="52"/>
      <c r="F16" s="54"/>
      <c r="G16" s="55"/>
      <c r="H16" s="55"/>
      <c r="I16" s="59"/>
      <c r="J16" s="59"/>
      <c r="K16" s="59"/>
      <c r="L16" s="59"/>
      <c r="M16" s="60">
        <f>IFERROR(IF(COUNTIFS(S16:AV16,清算项目基本情况表!$D$6)&gt;=1,IF(L16="占地面积法",ROUND(SUM('附表4-项目间分摊信息采集表'!$E$5)/SUMPRODUCT(SUMIFS('附表4-项目间分摊信息采集表'!$E:$E,'附表4-项目间分摊信息采集表'!$B:$B,S16:AV16)),20),IF(L16="测绘总建筑面积法",ROUND(SUM('附表4-项目间分摊信息采集表'!$F$5)/SUMPRODUCT(SUMIFS('附表4-项目间分摊信息采集表'!$F:$F,'附表4-项目间分摊信息采集表'!$B:$B,S16:AV16)),20),IF(L16="可售建筑面积法",ROUND(SUM('附表4-项目间分摊信息采集表'!$G$5)/SUMPRODUCT(SUMIFS('附表4-项目间分摊信息采集表'!$G:$G,'附表4-项目间分摊信息采集表'!$B:$B,S16:AV16)),20),IF(L16="其他分摊方法",ROUND(SUM('附表4-项目间分摊信息采集表'!$H$5)/SUMPRODUCT(SUMIFS('附表4-项目间分摊信息采集表'!$H:$H,'附表4-项目间分摊信息采集表'!$B:$B,S16:AV16)),20),IF(L16="手工填写分摊比例","请填写分摊比例",100%))))),IF(COUNTA(S16:AV16)&gt;=1,0%,100%)),100%)</f>
        <v>1</v>
      </c>
      <c r="N16" s="55">
        <f>SUMIFS('附表7-扣除项目明细采集底稿'!$R:$R,'附表7-扣除项目明细采集底稿'!$G:$G,B16)</f>
        <v>0</v>
      </c>
      <c r="O16" s="59" t="s">
        <v>192</v>
      </c>
      <c r="P16" s="61">
        <f>SUMIFS('附表7-扣除项目明细采集底稿'!$T:$T,'附表7-扣除项目明细采集底稿'!$G:$G,$B16)</f>
        <v>0</v>
      </c>
      <c r="Q16" s="63">
        <f t="shared" si="0"/>
        <v>0</v>
      </c>
      <c r="R16" s="64"/>
      <c r="S16" s="59"/>
      <c r="T16" s="59"/>
      <c r="U16" s="59"/>
      <c r="V16" s="59"/>
      <c r="W16" s="59"/>
      <c r="X16" s="59"/>
      <c r="Y16" s="59"/>
      <c r="Z16" s="59"/>
      <c r="AA16" s="59"/>
      <c r="AB16" s="59"/>
    </row>
  </sheetData>
  <mergeCells count="15">
    <mergeCell ref="A1:AB1"/>
    <mergeCell ref="A2:AB2"/>
    <mergeCell ref="L3:AB3"/>
    <mergeCell ref="S4:AB4"/>
    <mergeCell ref="A3:A5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5">
    <dataValidation allowBlank="1" showInputMessage="1" showErrorMessage="1" sqref="R5"/>
    <dataValidation type="list" allowBlank="1" showInputMessage="1" showErrorMessage="1" sqref="D6:D1048576">
      <formula1>OFFSET(数据对照表!$U$2,,,COUNTA(数据对照表!$U:$U)-1,1)</formula1>
    </dataValidation>
    <dataValidation type="list" allowBlank="1" showInputMessage="1" showErrorMessage="1" sqref="K6:K1048576 I6:J1048576">
      <formula1>"是,否"</formula1>
    </dataValidation>
    <dataValidation type="list" allowBlank="1" showInputMessage="1" showErrorMessage="1" sqref="L6:L1048576">
      <formula1>OFFSET(数据对照表!$AE$2,,,COUNTA(数据对照表!$AE:$AE)-1,1)</formula1>
    </dataValidation>
    <dataValidation type="list" allowBlank="1" showInputMessage="1" showErrorMessage="1" sqref="S6:AV1048576">
      <formula1>OFFSET('附表4-项目间分摊信息采集表'!$B$5,,,COUNTA('附表4-项目间分摊信息采集表'!$B:$B)-2,1)</formula1>
    </dataValidation>
  </dataValidations>
  <printOptions horizontalCentered="1"/>
  <pageMargins left="0.747916666666667" right="0.747916666666667" top="0.984027777777778" bottom="0.984027777777778" header="0.511805555555556" footer="0.511805555555556"/>
  <pageSetup paperSize="9" scale="42" fitToHeight="0" orientation="landscape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6"/>
  <sheetViews>
    <sheetView workbookViewId="0">
      <selection activeCell="A1" sqref="$A1:$XFD1048576"/>
    </sheetView>
  </sheetViews>
  <sheetFormatPr defaultColWidth="7" defaultRowHeight="14.25"/>
  <cols>
    <col min="1" max="1" width="8.875" style="15" customWidth="1"/>
    <col min="2" max="2" width="14.125" style="15" customWidth="1"/>
    <col min="3" max="4" width="9.625" style="11" customWidth="1"/>
    <col min="5" max="5" width="15.75" style="11" customWidth="1"/>
    <col min="6" max="10" width="9.625" style="11" customWidth="1"/>
    <col min="11" max="11" width="11.375" style="11" customWidth="1"/>
    <col min="12" max="17" width="9.625" style="15" customWidth="1"/>
    <col min="18" max="19" width="9.625" style="11" customWidth="1"/>
    <col min="20" max="20" width="9.625" style="17" customWidth="1"/>
    <col min="21" max="21" width="9.625" style="18" customWidth="1"/>
    <col min="22" max="16384" width="7" style="19"/>
  </cols>
  <sheetData>
    <row r="1" s="11" customFormat="1" ht="24" customHeight="1" spans="1:21">
      <c r="A1" s="20" t="str">
        <f>目录!A13&amp;目录!B13</f>
        <v>T30000工程造价采集表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="11" customFormat="1" ht="24" customHeight="1" spans="1:21">
      <c r="A2" s="21" t="str">
        <f>土地增值税税源明细表!F5&amp;"："&amp;土地增值税税源明细表!H5&amp;"          "&amp;土地增值税税源明细表!A5&amp;"："&amp;土地增值税税源明细表!B5</f>
        <v>项目编码：          项目名称：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="12" customFormat="1" ht="24" customHeight="1" spans="1:21">
      <c r="A3" s="22" t="s">
        <v>375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="13" customFormat="1" ht="24" customHeight="1" spans="1:21">
      <c r="A4" s="2" t="s">
        <v>376</v>
      </c>
      <c r="B4" s="2" t="s">
        <v>377</v>
      </c>
      <c r="C4" s="23" t="str">
        <f>"*"&amp;数据对照表!E2</f>
        <v>*桩基础工程费用</v>
      </c>
      <c r="D4" s="24" t="str">
        <f>"*"&amp;数据对照表!E3</f>
        <v>*地下室工程费用</v>
      </c>
      <c r="E4" s="24" t="str">
        <f>"*"&amp;数据对照表!E4</f>
        <v>*地上建筑工程费用</v>
      </c>
      <c r="F4" s="24" t="str">
        <f>"*"&amp;数据对照表!E5</f>
        <v>*户内装修费用</v>
      </c>
      <c r="G4" s="24" t="str">
        <f>数据对照表!E6</f>
        <v>高档外立面工程费用</v>
      </c>
      <c r="H4" s="24" t="str">
        <f>"*"&amp;数据对照表!F11</f>
        <v>*绿化费用</v>
      </c>
      <c r="I4" s="24" t="str">
        <f>"*"&amp;数据对照表!D3</f>
        <v>*设计费用</v>
      </c>
      <c r="J4" s="24" t="str">
        <f>数据对照表!F2</f>
        <v>开发小区内道路工程支出</v>
      </c>
      <c r="K4" s="24" t="s">
        <v>378</v>
      </c>
      <c r="L4" s="24" t="s">
        <v>379</v>
      </c>
      <c r="M4" s="24" t="s">
        <v>380</v>
      </c>
      <c r="N4" s="24" t="s">
        <v>381</v>
      </c>
      <c r="O4" s="35" t="s">
        <v>382</v>
      </c>
      <c r="P4" s="24" t="s">
        <v>383</v>
      </c>
      <c r="Q4" s="24" t="s">
        <v>384</v>
      </c>
      <c r="R4" s="35" t="s">
        <v>385</v>
      </c>
      <c r="S4" s="24" t="s">
        <v>386</v>
      </c>
      <c r="T4" s="24" t="s">
        <v>387</v>
      </c>
      <c r="U4" s="24" t="s">
        <v>388</v>
      </c>
    </row>
    <row r="5" s="14" customFormat="1" ht="24" customHeight="1" spans="1:21">
      <c r="A5" s="2"/>
      <c r="B5" s="2"/>
      <c r="C5" s="25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35"/>
      <c r="P5" s="24"/>
      <c r="Q5" s="24"/>
      <c r="R5" s="35"/>
      <c r="S5" s="24"/>
      <c r="T5" s="24"/>
      <c r="U5" s="24"/>
    </row>
    <row r="6" s="14" customFormat="1" ht="39" customHeight="1" spans="1:21">
      <c r="A6" s="2"/>
      <c r="B6" s="2"/>
      <c r="C6" s="26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5"/>
      <c r="P6" s="24"/>
      <c r="Q6" s="24"/>
      <c r="R6" s="35"/>
      <c r="S6" s="24"/>
      <c r="T6" s="24"/>
      <c r="U6" s="24"/>
    </row>
    <row r="7" s="14" customFormat="1" ht="24" customHeight="1" spans="1:21">
      <c r="A7" s="2"/>
      <c r="B7" s="2"/>
      <c r="C7" s="375" t="s">
        <v>213</v>
      </c>
      <c r="D7" s="375" t="s">
        <v>206</v>
      </c>
      <c r="E7" s="375" t="s">
        <v>207</v>
      </c>
      <c r="F7" s="375" t="s">
        <v>208</v>
      </c>
      <c r="G7" s="375" t="s">
        <v>214</v>
      </c>
      <c r="H7" s="375" t="s">
        <v>210</v>
      </c>
      <c r="I7" s="375" t="s">
        <v>211</v>
      </c>
      <c r="J7" s="375" t="s">
        <v>212</v>
      </c>
      <c r="K7" s="375" t="s">
        <v>215</v>
      </c>
      <c r="L7" s="375" t="s">
        <v>216</v>
      </c>
      <c r="M7" s="375" t="s">
        <v>217</v>
      </c>
      <c r="N7" s="375" t="s">
        <v>218</v>
      </c>
      <c r="O7" s="375" t="s">
        <v>219</v>
      </c>
      <c r="P7" s="375" t="s">
        <v>220</v>
      </c>
      <c r="Q7" s="375" t="s">
        <v>221</v>
      </c>
      <c r="R7" s="375" t="s">
        <v>222</v>
      </c>
      <c r="S7" s="375" t="s">
        <v>223</v>
      </c>
      <c r="T7" s="375" t="s">
        <v>224</v>
      </c>
      <c r="U7" s="375" t="s">
        <v>225</v>
      </c>
    </row>
    <row r="8" s="15" customFormat="1" ht="24" customHeight="1" spans="1:21">
      <c r="A8" s="22" t="s">
        <v>389</v>
      </c>
      <c r="B8" s="4" t="s">
        <v>390</v>
      </c>
      <c r="C8" s="27" t="s">
        <v>391</v>
      </c>
      <c r="D8" s="27" t="s">
        <v>391</v>
      </c>
      <c r="E8" s="27" t="s">
        <v>391</v>
      </c>
      <c r="F8" s="27" t="s">
        <v>391</v>
      </c>
      <c r="G8" s="27" t="s">
        <v>391</v>
      </c>
      <c r="H8" s="27" t="s">
        <v>391</v>
      </c>
      <c r="I8" s="27" t="s">
        <v>391</v>
      </c>
      <c r="J8" s="27" t="s">
        <v>391</v>
      </c>
      <c r="K8" s="27" t="s">
        <v>192</v>
      </c>
      <c r="L8" s="27" t="s">
        <v>192</v>
      </c>
      <c r="M8" s="27" t="s">
        <v>192</v>
      </c>
      <c r="N8" s="27" t="s">
        <v>192</v>
      </c>
      <c r="O8" s="27" t="s">
        <v>192</v>
      </c>
      <c r="P8" s="27" t="s">
        <v>192</v>
      </c>
      <c r="Q8" s="27" t="s">
        <v>192</v>
      </c>
      <c r="R8" s="27" t="s">
        <v>192</v>
      </c>
      <c r="S8" s="27" t="s">
        <v>192</v>
      </c>
      <c r="T8" s="27" t="s">
        <v>192</v>
      </c>
      <c r="U8" s="27" t="s">
        <v>192</v>
      </c>
    </row>
    <row r="9" s="16" customFormat="1" ht="24" customHeight="1" spans="1:21">
      <c r="A9" s="22"/>
      <c r="B9" s="28" t="s">
        <v>392</v>
      </c>
      <c r="C9" s="29">
        <f>'附表1-面积统计表'!D29</f>
        <v>0</v>
      </c>
      <c r="D9" s="29">
        <f>SUMIFS('附表6-收入明细采集底稿'!P:P,'附表6-收入明细采集底稿'!D:D,"&lt;0")</f>
        <v>0</v>
      </c>
      <c r="E9" s="29">
        <f>SUMIFS('附表6-收入明细采集底稿'!P:P,'附表6-收入明细采集底稿'!D:D,"&gt;0")</f>
        <v>0</v>
      </c>
      <c r="F9" s="27" t="s">
        <v>192</v>
      </c>
      <c r="G9" s="27" t="s">
        <v>192</v>
      </c>
      <c r="H9" s="27">
        <f>SUM(清算项目基本情况表!D9)*SUM(清算项目基本情况表!D10)</f>
        <v>0</v>
      </c>
      <c r="I9" s="27">
        <f>'附表1-面积统计表'!D29</f>
        <v>0</v>
      </c>
      <c r="J9" s="27" t="s">
        <v>192</v>
      </c>
      <c r="K9" s="27" t="s">
        <v>192</v>
      </c>
      <c r="L9" s="27" t="s">
        <v>192</v>
      </c>
      <c r="M9" s="27" t="s">
        <v>192</v>
      </c>
      <c r="N9" s="27" t="s">
        <v>192</v>
      </c>
      <c r="O9" s="27" t="s">
        <v>192</v>
      </c>
      <c r="P9" s="27" t="s">
        <v>192</v>
      </c>
      <c r="Q9" s="27" t="s">
        <v>192</v>
      </c>
      <c r="R9" s="27" t="s">
        <v>192</v>
      </c>
      <c r="S9" s="27" t="s">
        <v>192</v>
      </c>
      <c r="T9" s="27" t="s">
        <v>192</v>
      </c>
      <c r="U9" s="27" t="s">
        <v>192</v>
      </c>
    </row>
    <row r="10" s="16" customFormat="1" ht="24" customHeight="1" spans="1:21">
      <c r="A10" s="22"/>
      <c r="B10" s="28" t="s">
        <v>393</v>
      </c>
      <c r="C10" s="29">
        <f>'附表5-扣除项目统计表'!M30</f>
        <v>0</v>
      </c>
      <c r="D10" s="29">
        <f>'附表5-扣除项目统计表'!M31</f>
        <v>0</v>
      </c>
      <c r="E10" s="29">
        <f>'附表5-扣除项目统计表'!M32</f>
        <v>0</v>
      </c>
      <c r="F10" s="29">
        <f>'附表5-扣除项目统计表'!M33</f>
        <v>0</v>
      </c>
      <c r="G10" s="29">
        <f>'附表5-扣除项目统计表'!M34</f>
        <v>0</v>
      </c>
      <c r="H10" s="27">
        <f>'附表5-扣除项目统计表'!M46</f>
        <v>0</v>
      </c>
      <c r="I10" s="27">
        <f>'附表5-扣除项目统计表'!M21</f>
        <v>0</v>
      </c>
      <c r="J10" s="27">
        <f>'附表5-扣除项目统计表'!M37</f>
        <v>0</v>
      </c>
      <c r="K10" s="27" t="s">
        <v>192</v>
      </c>
      <c r="L10" s="27" t="s">
        <v>192</v>
      </c>
      <c r="M10" s="27" t="s">
        <v>192</v>
      </c>
      <c r="N10" s="27" t="s">
        <v>192</v>
      </c>
      <c r="O10" s="27" t="s">
        <v>192</v>
      </c>
      <c r="P10" s="27" t="s">
        <v>192</v>
      </c>
      <c r="Q10" s="27" t="s">
        <v>192</v>
      </c>
      <c r="R10" s="27" t="s">
        <v>192</v>
      </c>
      <c r="S10" s="27" t="s">
        <v>192</v>
      </c>
      <c r="T10" s="27" t="s">
        <v>192</v>
      </c>
      <c r="U10" s="27" t="s">
        <v>192</v>
      </c>
    </row>
    <row r="11" s="16" customFormat="1" ht="24" customHeight="1" spans="1:21">
      <c r="A11" s="22"/>
      <c r="B11" s="28" t="s">
        <v>394</v>
      </c>
      <c r="C11" s="29" t="str">
        <f t="shared" ref="C11:G11" si="0">IF(SUM(C9)=0,"",ROUND((SUM(C10)/SUM(C9)),2))</f>
        <v/>
      </c>
      <c r="D11" s="29" t="str">
        <f t="shared" si="0"/>
        <v/>
      </c>
      <c r="E11" s="29" t="str">
        <f t="shared" si="0"/>
        <v/>
      </c>
      <c r="F11" s="29" t="str">
        <f t="shared" si="0"/>
        <v/>
      </c>
      <c r="G11" s="29" t="str">
        <f t="shared" si="0"/>
        <v/>
      </c>
      <c r="H11" s="29" t="str">
        <f t="shared" ref="H11:U11" si="1">IF(SUM(H9)=0,"",ROUND((SUM(H10)/SUM(H9)),2))</f>
        <v/>
      </c>
      <c r="I11" s="29" t="str">
        <f t="shared" si="1"/>
        <v/>
      </c>
      <c r="J11" s="29" t="str">
        <f t="shared" si="1"/>
        <v/>
      </c>
      <c r="K11" s="29" t="str">
        <f t="shared" si="1"/>
        <v/>
      </c>
      <c r="L11" s="29" t="str">
        <f t="shared" si="1"/>
        <v/>
      </c>
      <c r="M11" s="29" t="str">
        <f t="shared" si="1"/>
        <v/>
      </c>
      <c r="N11" s="29" t="str">
        <f t="shared" si="1"/>
        <v/>
      </c>
      <c r="O11" s="29" t="str">
        <f t="shared" si="1"/>
        <v/>
      </c>
      <c r="P11" s="29" t="str">
        <f t="shared" si="1"/>
        <v/>
      </c>
      <c r="Q11" s="29" t="str">
        <f t="shared" si="1"/>
        <v/>
      </c>
      <c r="R11" s="29" t="str">
        <f t="shared" si="1"/>
        <v/>
      </c>
      <c r="S11" s="29" t="str">
        <f t="shared" si="1"/>
        <v/>
      </c>
      <c r="T11" s="29" t="str">
        <f t="shared" si="1"/>
        <v/>
      </c>
      <c r="U11" s="29" t="str">
        <f t="shared" si="1"/>
        <v/>
      </c>
    </row>
    <row r="12" s="14" customFormat="1" ht="24" customHeight="1" spans="1:21">
      <c r="A12" s="24" t="s">
        <v>395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="12" customFormat="1" ht="24" customHeight="1" spans="1:21">
      <c r="A13" s="24" t="s">
        <v>67</v>
      </c>
      <c r="B13" s="24" t="s">
        <v>290</v>
      </c>
      <c r="C13" s="24" t="s">
        <v>396</v>
      </c>
      <c r="D13" s="24" t="s">
        <v>397</v>
      </c>
      <c r="E13" s="24" t="s">
        <v>398</v>
      </c>
      <c r="F13" s="30" t="s">
        <v>399</v>
      </c>
      <c r="G13" s="24" t="s">
        <v>400</v>
      </c>
      <c r="H13" s="24" t="s">
        <v>401</v>
      </c>
      <c r="I13" s="24" t="s">
        <v>402</v>
      </c>
      <c r="J13" s="24" t="s">
        <v>403</v>
      </c>
      <c r="K13" s="24" t="s">
        <v>404</v>
      </c>
      <c r="L13" s="24" t="s">
        <v>405</v>
      </c>
      <c r="M13" s="24"/>
      <c r="N13" s="24"/>
      <c r="O13" s="24" t="s">
        <v>406</v>
      </c>
      <c r="P13" s="24"/>
      <c r="Q13" s="24"/>
      <c r="R13" s="23" t="s">
        <v>407</v>
      </c>
      <c r="S13" s="24" t="s">
        <v>408</v>
      </c>
      <c r="T13" s="38" t="s">
        <v>409</v>
      </c>
      <c r="U13" s="38" t="s">
        <v>410</v>
      </c>
    </row>
    <row r="14" s="12" customFormat="1" ht="24" customHeight="1" spans="1:21">
      <c r="A14" s="24"/>
      <c r="B14" s="24"/>
      <c r="C14" s="24"/>
      <c r="D14" s="24"/>
      <c r="E14" s="24"/>
      <c r="F14" s="30"/>
      <c r="G14" s="24"/>
      <c r="H14" s="24"/>
      <c r="I14" s="24"/>
      <c r="J14" s="24"/>
      <c r="K14" s="24"/>
      <c r="L14" s="376" t="s">
        <v>411</v>
      </c>
      <c r="M14" s="376" t="s">
        <v>412</v>
      </c>
      <c r="N14" s="376" t="s">
        <v>413</v>
      </c>
      <c r="O14" s="376" t="s">
        <v>411</v>
      </c>
      <c r="P14" s="376" t="s">
        <v>412</v>
      </c>
      <c r="Q14" s="376" t="s">
        <v>413</v>
      </c>
      <c r="R14" s="26"/>
      <c r="S14" s="24"/>
      <c r="T14" s="38"/>
      <c r="U14" s="38"/>
    </row>
    <row r="15" s="12" customFormat="1" ht="24" customHeight="1" spans="1:21">
      <c r="A15" s="24"/>
      <c r="B15" s="375" t="s">
        <v>226</v>
      </c>
      <c r="C15" s="375" t="s">
        <v>227</v>
      </c>
      <c r="D15" s="375" t="s">
        <v>228</v>
      </c>
      <c r="E15" s="375" t="s">
        <v>229</v>
      </c>
      <c r="F15" s="375" t="s">
        <v>230</v>
      </c>
      <c r="G15" s="375" t="s">
        <v>231</v>
      </c>
      <c r="H15" s="375" t="s">
        <v>239</v>
      </c>
      <c r="I15" s="375" t="s">
        <v>240</v>
      </c>
      <c r="J15" s="375" t="s">
        <v>241</v>
      </c>
      <c r="K15" s="375" t="s">
        <v>242</v>
      </c>
      <c r="L15" s="375" t="s">
        <v>414</v>
      </c>
      <c r="M15" s="375" t="s">
        <v>415</v>
      </c>
      <c r="N15" s="375" t="s">
        <v>416</v>
      </c>
      <c r="O15" s="375" t="s">
        <v>417</v>
      </c>
      <c r="P15" s="375" t="s">
        <v>418</v>
      </c>
      <c r="Q15" s="375" t="s">
        <v>419</v>
      </c>
      <c r="R15" s="375" t="s">
        <v>420</v>
      </c>
      <c r="S15" s="375" t="s">
        <v>421</v>
      </c>
      <c r="T15" s="375" t="s">
        <v>422</v>
      </c>
      <c r="U15" s="375" t="s">
        <v>423</v>
      </c>
    </row>
    <row r="16" s="11" customFormat="1" ht="24" customHeight="1" spans="1:21">
      <c r="A16" s="4"/>
      <c r="B16" s="4" t="s">
        <v>192</v>
      </c>
      <c r="C16" s="31"/>
      <c r="D16" s="32"/>
      <c r="E16" s="32"/>
      <c r="F16" s="33"/>
      <c r="G16" s="4"/>
      <c r="H16" s="4"/>
      <c r="I16" s="37">
        <f>IF(_xlfn.MAXIFS('附表6-收入明细采集底稿'!D:D,'附表6-收入明细采集底稿'!B:B,B16)&gt;0,_xlfn.MAXIFS('附表6-收入明细采集底稿'!D:D,'附表6-收入明细采集底稿'!B:B,B16),0)</f>
        <v>0</v>
      </c>
      <c r="J16" s="37">
        <f>IF(_xlfn.MINIFS('附表6-收入明细采集底稿'!D:D,'附表6-收入明细采集底稿'!B:B,B16)&lt;0,ABS(_xlfn.MINIFS('附表6-收入明细采集底稿'!D:D,'附表6-收入明细采集底稿'!B:B,B16)),0)</f>
        <v>0</v>
      </c>
      <c r="K16" s="27">
        <f>SUMIFS('附表6-收入明细采集底稿'!P:P,'附表6-收入明细采集底稿'!B:B,B16,'附表6-收入明细采集底稿'!D:D,"&gt;0")</f>
        <v>0</v>
      </c>
      <c r="L16" s="27">
        <f>SUMIFS('附表6-收入明细采集底稿'!P:P,'附表6-收入明细采集底稿'!B:B,B16,'附表6-收入明细采集底稿'!D:D,"=-1")</f>
        <v>0</v>
      </c>
      <c r="M16" s="27">
        <f>SUMIFS('附表6-收入明细采集底稿'!P:P,'附表6-收入明细采集底稿'!B:B,B16,'附表6-收入明细采集底稿'!D:D,"=-2")</f>
        <v>0</v>
      </c>
      <c r="N16" s="27">
        <f>SUMIFS('附表6-收入明细采集底稿'!P:P,'附表6-收入明细采集底稿'!B:B,B16,'附表6-收入明细采集底稿'!D:D,"&lt;-2")</f>
        <v>0</v>
      </c>
      <c r="O16" s="27">
        <f>SUMIFS('附表6-收入明细采集底稿'!P:P,'附表6-收入明细采集底稿'!B:B,B16,'附表6-收入明细采集底稿'!D:D,"-1",'附表6-收入明细采集底稿'!G:G,数据对照表!$A$12)</f>
        <v>0</v>
      </c>
      <c r="P16" s="27">
        <f>SUMIFS('附表6-收入明细采集底稿'!P:P,'附表6-收入明细采集底稿'!B:B,B16,'附表6-收入明细采集底稿'!D:D,"-2",'附表6-收入明细采集底稿'!G:G,数据对照表!$A$12)</f>
        <v>0</v>
      </c>
      <c r="Q16" s="27">
        <f>SUMIFS('附表6-收入明细采集底稿'!P:P,'附表6-收入明细采集底稿'!B:B,B16,'附表6-收入明细采集底稿'!D:D,"&lt;-2",'附表6-收入明细采集底稿'!G:G,数据对照表!$A$12)</f>
        <v>0</v>
      </c>
      <c r="R16" s="27">
        <f>SUMIFS('附表6-收入明细采集底稿'!P:P,'附表6-收入明细采集底稿'!B:B,B16)</f>
        <v>0</v>
      </c>
      <c r="S16" s="29" t="s">
        <v>192</v>
      </c>
      <c r="T16" s="34"/>
      <c r="U16" s="34"/>
    </row>
    <row r="17" s="11" customFormat="1" ht="24" customHeight="1" spans="1:21">
      <c r="A17" s="4"/>
      <c r="B17" s="4"/>
      <c r="C17" s="31"/>
      <c r="D17" s="32"/>
      <c r="E17" s="32"/>
      <c r="F17" s="34"/>
      <c r="G17" s="4"/>
      <c r="H17" s="4"/>
      <c r="I17" s="37">
        <f>IF(_xlfn.MAXIFS('附表6-收入明细采集底稿'!D:D,'附表6-收入明细采集底稿'!B:B,B17)&gt;0,_xlfn.MAXIFS('附表6-收入明细采集底稿'!D:D,'附表6-收入明细采集底稿'!B:B,B17),0)</f>
        <v>0</v>
      </c>
      <c r="J17" s="37">
        <f>IF(_xlfn.MINIFS('附表6-收入明细采集底稿'!D:D,'附表6-收入明细采集底稿'!B:B,B17)&lt;0,ABS(_xlfn.MINIFS('附表6-收入明细采集底稿'!D:D,'附表6-收入明细采集底稿'!B:B,B17)),0)</f>
        <v>0</v>
      </c>
      <c r="K17" s="27">
        <f>SUMIFS('附表6-收入明细采集底稿'!P:P,'附表6-收入明细采集底稿'!B:B,B17,'附表6-收入明细采集底稿'!D:D,"&gt;0")</f>
        <v>0</v>
      </c>
      <c r="L17" s="27">
        <f>SUMIFS('附表6-收入明细采集底稿'!P:P,'附表6-收入明细采集底稿'!B:B,B17,'附表6-收入明细采集底稿'!D:D,"=-1")</f>
        <v>0</v>
      </c>
      <c r="M17" s="27">
        <f>SUMIFS('附表6-收入明细采集底稿'!P:P,'附表6-收入明细采集底稿'!B:B,B17,'附表6-收入明细采集底稿'!D:D,"=-2")</f>
        <v>0</v>
      </c>
      <c r="N17" s="27">
        <f>SUMIFS('附表6-收入明细采集底稿'!P:P,'附表6-收入明细采集底稿'!B:B,B17,'附表6-收入明细采集底稿'!D:D,"&lt;-2")</f>
        <v>0</v>
      </c>
      <c r="O17" s="27">
        <f>SUMIFS('附表6-收入明细采集底稿'!P:P,'附表6-收入明细采集底稿'!B:B,B17,'附表6-收入明细采集底稿'!D:D,"-1",'附表6-收入明细采集底稿'!G:G,数据对照表!$A$12)</f>
        <v>0</v>
      </c>
      <c r="P17" s="27">
        <f>SUMIFS('附表6-收入明细采集底稿'!P:P,'附表6-收入明细采集底稿'!B:B,B17,'附表6-收入明细采集底稿'!D:D,"-2",'附表6-收入明细采集底稿'!G:G,数据对照表!$A$12)</f>
        <v>0</v>
      </c>
      <c r="Q17" s="27">
        <f>SUMIFS('附表6-收入明细采集底稿'!P:P,'附表6-收入明细采集底稿'!B:B,B17,'附表6-收入明细采集底稿'!D:D,"&lt;-2",'附表6-收入明细采集底稿'!G:G,数据对照表!$A$12)</f>
        <v>0</v>
      </c>
      <c r="R17" s="27">
        <f>SUMIFS('附表6-收入明细采集底稿'!P:P,'附表6-收入明细采集底稿'!B:B,B17)</f>
        <v>0</v>
      </c>
      <c r="S17" s="29"/>
      <c r="T17" s="34"/>
      <c r="U17" s="34"/>
    </row>
    <row r="18" s="11" customFormat="1" ht="24" customHeight="1" spans="1:21">
      <c r="A18" s="4"/>
      <c r="B18" s="4"/>
      <c r="C18" s="31"/>
      <c r="D18" s="32"/>
      <c r="E18" s="32"/>
      <c r="F18" s="34"/>
      <c r="G18" s="4"/>
      <c r="H18" s="4"/>
      <c r="I18" s="37">
        <f>IF(_xlfn.MAXIFS('附表6-收入明细采集底稿'!D:D,'附表6-收入明细采集底稿'!B:B,B18)&gt;0,_xlfn.MAXIFS('附表6-收入明细采集底稿'!D:D,'附表6-收入明细采集底稿'!B:B,B18),0)</f>
        <v>0</v>
      </c>
      <c r="J18" s="37">
        <f>IF(_xlfn.MINIFS('附表6-收入明细采集底稿'!D:D,'附表6-收入明细采集底稿'!B:B,B18)&lt;0,ABS(_xlfn.MINIFS('附表6-收入明细采集底稿'!D:D,'附表6-收入明细采集底稿'!B:B,B18)),0)</f>
        <v>0</v>
      </c>
      <c r="K18" s="27">
        <f>SUMIFS('附表6-收入明细采集底稿'!P:P,'附表6-收入明细采集底稿'!B:B,B18,'附表6-收入明细采集底稿'!D:D,"&gt;0")</f>
        <v>0</v>
      </c>
      <c r="L18" s="27">
        <f>SUMIFS('附表6-收入明细采集底稿'!P:P,'附表6-收入明细采集底稿'!B:B,B18,'附表6-收入明细采集底稿'!D:D,"=-1")</f>
        <v>0</v>
      </c>
      <c r="M18" s="27">
        <f>SUMIFS('附表6-收入明细采集底稿'!P:P,'附表6-收入明细采集底稿'!B:B,B18,'附表6-收入明细采集底稿'!D:D,"=-2")</f>
        <v>0</v>
      </c>
      <c r="N18" s="27">
        <f>SUMIFS('附表6-收入明细采集底稿'!P:P,'附表6-收入明细采集底稿'!B:B,B18,'附表6-收入明细采集底稿'!D:D,"&lt;-2")</f>
        <v>0</v>
      </c>
      <c r="O18" s="27">
        <f>SUMIFS('附表6-收入明细采集底稿'!P:P,'附表6-收入明细采集底稿'!B:B,B18,'附表6-收入明细采集底稿'!D:D,"-1",'附表6-收入明细采集底稿'!G:G,数据对照表!$A$12)</f>
        <v>0</v>
      </c>
      <c r="P18" s="27">
        <f>SUMIFS('附表6-收入明细采集底稿'!P:P,'附表6-收入明细采集底稿'!B:B,B18,'附表6-收入明细采集底稿'!D:D,"-2",'附表6-收入明细采集底稿'!G:G,数据对照表!$A$12)</f>
        <v>0</v>
      </c>
      <c r="Q18" s="27">
        <f>SUMIFS('附表6-收入明细采集底稿'!P:P,'附表6-收入明细采集底稿'!B:B,B18,'附表6-收入明细采集底稿'!D:D,"&lt;-2",'附表6-收入明细采集底稿'!G:G,数据对照表!$A$12)</f>
        <v>0</v>
      </c>
      <c r="R18" s="27">
        <f>SUMIFS('附表6-收入明细采集底稿'!P:P,'附表6-收入明细采集底稿'!B:B,B18)</f>
        <v>0</v>
      </c>
      <c r="S18" s="29"/>
      <c r="T18" s="34"/>
      <c r="U18" s="34"/>
    </row>
    <row r="19" s="11" customFormat="1" ht="24" customHeight="1" spans="1:21">
      <c r="A19" s="4"/>
      <c r="B19" s="4"/>
      <c r="C19" s="31"/>
      <c r="D19" s="32"/>
      <c r="E19" s="32"/>
      <c r="F19" s="34"/>
      <c r="G19" s="4"/>
      <c r="H19" s="4"/>
      <c r="I19" s="37">
        <f>IF(_xlfn.MAXIFS('附表6-收入明细采集底稿'!D:D,'附表6-收入明细采集底稿'!B:B,B19)&gt;0,_xlfn.MAXIFS('附表6-收入明细采集底稿'!D:D,'附表6-收入明细采集底稿'!B:B,B19),0)</f>
        <v>0</v>
      </c>
      <c r="J19" s="37">
        <f>IF(_xlfn.MINIFS('附表6-收入明细采集底稿'!D:D,'附表6-收入明细采集底稿'!B:B,B19)&lt;0,ABS(_xlfn.MINIFS('附表6-收入明细采集底稿'!D:D,'附表6-收入明细采集底稿'!B:B,B19)),0)</f>
        <v>0</v>
      </c>
      <c r="K19" s="27">
        <f>SUMIFS('附表6-收入明细采集底稿'!P:P,'附表6-收入明细采集底稿'!B:B,B19,'附表6-收入明细采集底稿'!D:D,"&gt;0")</f>
        <v>0</v>
      </c>
      <c r="L19" s="27">
        <f>SUMIFS('附表6-收入明细采集底稿'!P:P,'附表6-收入明细采集底稿'!B:B,B19,'附表6-收入明细采集底稿'!D:D,"=-1")</f>
        <v>0</v>
      </c>
      <c r="M19" s="27">
        <f>SUMIFS('附表6-收入明细采集底稿'!P:P,'附表6-收入明细采集底稿'!B:B,B19,'附表6-收入明细采集底稿'!D:D,"=-2")</f>
        <v>0</v>
      </c>
      <c r="N19" s="27">
        <f>SUMIFS('附表6-收入明细采集底稿'!P:P,'附表6-收入明细采集底稿'!B:B,B19,'附表6-收入明细采集底稿'!D:D,"&lt;-2")</f>
        <v>0</v>
      </c>
      <c r="O19" s="27">
        <f>SUMIFS('附表6-收入明细采集底稿'!P:P,'附表6-收入明细采集底稿'!B:B,B19,'附表6-收入明细采集底稿'!D:D,"-1",'附表6-收入明细采集底稿'!G:G,数据对照表!$A$12)</f>
        <v>0</v>
      </c>
      <c r="P19" s="27">
        <f>SUMIFS('附表6-收入明细采集底稿'!P:P,'附表6-收入明细采集底稿'!B:B,B19,'附表6-收入明细采集底稿'!D:D,"-2",'附表6-收入明细采集底稿'!G:G,数据对照表!$A$12)</f>
        <v>0</v>
      </c>
      <c r="Q19" s="27">
        <f>SUMIFS('附表6-收入明细采集底稿'!P:P,'附表6-收入明细采集底稿'!B:B,B19,'附表6-收入明细采集底稿'!D:D,"&lt;-2",'附表6-收入明细采集底稿'!G:G,数据对照表!$A$12)</f>
        <v>0</v>
      </c>
      <c r="R19" s="27">
        <f>SUMIFS('附表6-收入明细采集底稿'!P:P,'附表6-收入明细采集底稿'!B:B,B19)</f>
        <v>0</v>
      </c>
      <c r="S19" s="29"/>
      <c r="T19" s="34"/>
      <c r="U19" s="34"/>
    </row>
    <row r="20" s="11" customFormat="1" ht="24" customHeight="1" spans="1:21">
      <c r="A20" s="4"/>
      <c r="B20" s="4"/>
      <c r="C20" s="31"/>
      <c r="D20" s="32"/>
      <c r="E20" s="32"/>
      <c r="F20" s="34"/>
      <c r="G20" s="4"/>
      <c r="H20" s="4"/>
      <c r="I20" s="37">
        <f>IF(_xlfn.MAXIFS('附表6-收入明细采集底稿'!D:D,'附表6-收入明细采集底稿'!B:B,B20)&gt;0,_xlfn.MAXIFS('附表6-收入明细采集底稿'!D:D,'附表6-收入明细采集底稿'!B:B,B20),0)</f>
        <v>0</v>
      </c>
      <c r="J20" s="37">
        <f>IF(_xlfn.MINIFS('附表6-收入明细采集底稿'!D:D,'附表6-收入明细采集底稿'!B:B,B20)&lt;0,ABS(_xlfn.MINIFS('附表6-收入明细采集底稿'!D:D,'附表6-收入明细采集底稿'!B:B,B20)),0)</f>
        <v>0</v>
      </c>
      <c r="K20" s="27">
        <f>SUMIFS('附表6-收入明细采集底稿'!P:P,'附表6-收入明细采集底稿'!B:B,B20,'附表6-收入明细采集底稿'!D:D,"&gt;0")</f>
        <v>0</v>
      </c>
      <c r="L20" s="27">
        <f>SUMIFS('附表6-收入明细采集底稿'!P:P,'附表6-收入明细采集底稿'!B:B,B20,'附表6-收入明细采集底稿'!D:D,"=-1")</f>
        <v>0</v>
      </c>
      <c r="M20" s="27">
        <f>SUMIFS('附表6-收入明细采集底稿'!P:P,'附表6-收入明细采集底稿'!B:B,B20,'附表6-收入明细采集底稿'!D:D,"=-2")</f>
        <v>0</v>
      </c>
      <c r="N20" s="27">
        <f>SUMIFS('附表6-收入明细采集底稿'!P:P,'附表6-收入明细采集底稿'!B:B,B20,'附表6-收入明细采集底稿'!D:D,"&lt;-2")</f>
        <v>0</v>
      </c>
      <c r="O20" s="27">
        <f>SUMIFS('附表6-收入明细采集底稿'!P:P,'附表6-收入明细采集底稿'!B:B,B20,'附表6-收入明细采集底稿'!D:D,"-1",'附表6-收入明细采集底稿'!G:G,数据对照表!$A$12)</f>
        <v>0</v>
      </c>
      <c r="P20" s="27">
        <f>SUMIFS('附表6-收入明细采集底稿'!P:P,'附表6-收入明细采集底稿'!B:B,B20,'附表6-收入明细采集底稿'!D:D,"-2",'附表6-收入明细采集底稿'!G:G,数据对照表!$A$12)</f>
        <v>0</v>
      </c>
      <c r="Q20" s="27">
        <f>SUMIFS('附表6-收入明细采集底稿'!P:P,'附表6-收入明细采集底稿'!B:B,B20,'附表6-收入明细采集底稿'!D:D,"&lt;-2",'附表6-收入明细采集底稿'!G:G,数据对照表!$A$12)</f>
        <v>0</v>
      </c>
      <c r="R20" s="27">
        <f>SUMIFS('附表6-收入明细采集底稿'!P:P,'附表6-收入明细采集底稿'!B:B,B20)</f>
        <v>0</v>
      </c>
      <c r="S20" s="29"/>
      <c r="T20" s="34"/>
      <c r="U20" s="34"/>
    </row>
    <row r="21" s="11" customFormat="1" ht="24" customHeight="1" spans="1:21">
      <c r="A21" s="4"/>
      <c r="B21" s="4"/>
      <c r="C21" s="31"/>
      <c r="D21" s="32"/>
      <c r="E21" s="32"/>
      <c r="F21" s="34"/>
      <c r="G21" s="4"/>
      <c r="H21" s="4"/>
      <c r="I21" s="37">
        <f>IF(_xlfn.MAXIFS('附表6-收入明细采集底稿'!D:D,'附表6-收入明细采集底稿'!B:B,B21)&gt;0,_xlfn.MAXIFS('附表6-收入明细采集底稿'!D:D,'附表6-收入明细采集底稿'!B:B,B21),0)</f>
        <v>0</v>
      </c>
      <c r="J21" s="37">
        <f>IF(_xlfn.MINIFS('附表6-收入明细采集底稿'!D:D,'附表6-收入明细采集底稿'!B:B,B21)&lt;0,ABS(_xlfn.MINIFS('附表6-收入明细采集底稿'!D:D,'附表6-收入明细采集底稿'!B:B,B21)),0)</f>
        <v>0</v>
      </c>
      <c r="K21" s="27">
        <f>SUMIFS('附表6-收入明细采集底稿'!P:P,'附表6-收入明细采集底稿'!B:B,B21,'附表6-收入明细采集底稿'!D:D,"&gt;0")</f>
        <v>0</v>
      </c>
      <c r="L21" s="27">
        <f>SUMIFS('附表6-收入明细采集底稿'!P:P,'附表6-收入明细采集底稿'!B:B,B21,'附表6-收入明细采集底稿'!D:D,"=-1")</f>
        <v>0</v>
      </c>
      <c r="M21" s="27">
        <f>SUMIFS('附表6-收入明细采集底稿'!P:P,'附表6-收入明细采集底稿'!B:B,B21,'附表6-收入明细采集底稿'!D:D,"=-2")</f>
        <v>0</v>
      </c>
      <c r="N21" s="27">
        <f>SUMIFS('附表6-收入明细采集底稿'!P:P,'附表6-收入明细采集底稿'!B:B,B21,'附表6-收入明细采集底稿'!D:D,"&lt;-2")</f>
        <v>0</v>
      </c>
      <c r="O21" s="27">
        <f>SUMIFS('附表6-收入明细采集底稿'!P:P,'附表6-收入明细采集底稿'!B:B,B21,'附表6-收入明细采集底稿'!D:D,"-1",'附表6-收入明细采集底稿'!G:G,数据对照表!$A$12)</f>
        <v>0</v>
      </c>
      <c r="P21" s="27">
        <f>SUMIFS('附表6-收入明细采集底稿'!P:P,'附表6-收入明细采集底稿'!B:B,B21,'附表6-收入明细采集底稿'!D:D,"-2",'附表6-收入明细采集底稿'!G:G,数据对照表!$A$12)</f>
        <v>0</v>
      </c>
      <c r="Q21" s="27">
        <f>SUMIFS('附表6-收入明细采集底稿'!P:P,'附表6-收入明细采集底稿'!B:B,B21,'附表6-收入明细采集底稿'!D:D,"&lt;-2",'附表6-收入明细采集底稿'!G:G,数据对照表!$A$12)</f>
        <v>0</v>
      </c>
      <c r="R21" s="27">
        <f>SUMIFS('附表6-收入明细采集底稿'!P:P,'附表6-收入明细采集底稿'!B:B,B21)</f>
        <v>0</v>
      </c>
      <c r="S21" s="29"/>
      <c r="T21" s="34"/>
      <c r="U21" s="34"/>
    </row>
    <row r="22" s="11" customFormat="1" ht="24" customHeight="1" spans="1:21">
      <c r="A22" s="4"/>
      <c r="B22" s="4"/>
      <c r="C22" s="31"/>
      <c r="D22" s="32"/>
      <c r="E22" s="32"/>
      <c r="F22" s="34"/>
      <c r="G22" s="4"/>
      <c r="H22" s="4"/>
      <c r="I22" s="37">
        <f>IF(_xlfn.MAXIFS('附表6-收入明细采集底稿'!D:D,'附表6-收入明细采集底稿'!B:B,B22)&gt;0,_xlfn.MAXIFS('附表6-收入明细采集底稿'!D:D,'附表6-收入明细采集底稿'!B:B,B22),0)</f>
        <v>0</v>
      </c>
      <c r="J22" s="37">
        <f>IF(_xlfn.MINIFS('附表6-收入明细采集底稿'!D:D,'附表6-收入明细采集底稿'!B:B,B22)&lt;0,ABS(_xlfn.MINIFS('附表6-收入明细采集底稿'!D:D,'附表6-收入明细采集底稿'!B:B,B22)),0)</f>
        <v>0</v>
      </c>
      <c r="K22" s="27">
        <f>SUMIFS('附表6-收入明细采集底稿'!P:P,'附表6-收入明细采集底稿'!B:B,B22,'附表6-收入明细采集底稿'!D:D,"&gt;0")</f>
        <v>0</v>
      </c>
      <c r="L22" s="27">
        <f>SUMIFS('附表6-收入明细采集底稿'!P:P,'附表6-收入明细采集底稿'!B:B,B22,'附表6-收入明细采集底稿'!D:D,"=-1")</f>
        <v>0</v>
      </c>
      <c r="M22" s="27">
        <f>SUMIFS('附表6-收入明细采集底稿'!P:P,'附表6-收入明细采集底稿'!B:B,B22,'附表6-收入明细采集底稿'!D:D,"=-2")</f>
        <v>0</v>
      </c>
      <c r="N22" s="27">
        <f>SUMIFS('附表6-收入明细采集底稿'!P:P,'附表6-收入明细采集底稿'!B:B,B22,'附表6-收入明细采集底稿'!D:D,"&lt;-2")</f>
        <v>0</v>
      </c>
      <c r="O22" s="27">
        <f>SUMIFS('附表6-收入明细采集底稿'!P:P,'附表6-收入明细采集底稿'!B:B,B22,'附表6-收入明细采集底稿'!D:D,"-1",'附表6-收入明细采集底稿'!G:G,数据对照表!$A$12)</f>
        <v>0</v>
      </c>
      <c r="P22" s="27">
        <f>SUMIFS('附表6-收入明细采集底稿'!P:P,'附表6-收入明细采集底稿'!B:B,B22,'附表6-收入明细采集底稿'!D:D,"-2",'附表6-收入明细采集底稿'!G:G,数据对照表!$A$12)</f>
        <v>0</v>
      </c>
      <c r="Q22" s="27">
        <f>SUMIFS('附表6-收入明细采集底稿'!P:P,'附表6-收入明细采集底稿'!B:B,B22,'附表6-收入明细采集底稿'!D:D,"&lt;-2",'附表6-收入明细采集底稿'!G:G,数据对照表!$A$12)</f>
        <v>0</v>
      </c>
      <c r="R22" s="27">
        <f>SUMIFS('附表6-收入明细采集底稿'!P:P,'附表6-收入明细采集底稿'!B:B,B22)</f>
        <v>0</v>
      </c>
      <c r="S22" s="29"/>
      <c r="T22" s="34"/>
      <c r="U22" s="34"/>
    </row>
    <row r="23" s="11" customFormat="1" ht="24" customHeight="1" spans="1:21">
      <c r="A23" s="4"/>
      <c r="B23" s="4"/>
      <c r="C23" s="31"/>
      <c r="D23" s="32"/>
      <c r="E23" s="32"/>
      <c r="F23" s="34"/>
      <c r="G23" s="4"/>
      <c r="H23" s="4"/>
      <c r="I23" s="37">
        <f>IF(_xlfn.MAXIFS('附表6-收入明细采集底稿'!D:D,'附表6-收入明细采集底稿'!B:B,B23)&gt;0,_xlfn.MAXIFS('附表6-收入明细采集底稿'!D:D,'附表6-收入明细采集底稿'!B:B,B23),0)</f>
        <v>0</v>
      </c>
      <c r="J23" s="37">
        <f>IF(_xlfn.MINIFS('附表6-收入明细采集底稿'!D:D,'附表6-收入明细采集底稿'!B:B,B23)&lt;0,ABS(_xlfn.MINIFS('附表6-收入明细采集底稿'!D:D,'附表6-收入明细采集底稿'!B:B,B23)),0)</f>
        <v>0</v>
      </c>
      <c r="K23" s="27">
        <f>SUMIFS('附表6-收入明细采集底稿'!P:P,'附表6-收入明细采集底稿'!B:B,B23,'附表6-收入明细采集底稿'!D:D,"&gt;0")</f>
        <v>0</v>
      </c>
      <c r="L23" s="27">
        <f>SUMIFS('附表6-收入明细采集底稿'!P:P,'附表6-收入明细采集底稿'!B:B,B23,'附表6-收入明细采集底稿'!D:D,"=-1")</f>
        <v>0</v>
      </c>
      <c r="M23" s="27">
        <f>SUMIFS('附表6-收入明细采集底稿'!P:P,'附表6-收入明细采集底稿'!B:B,B23,'附表6-收入明细采集底稿'!D:D,"=-2")</f>
        <v>0</v>
      </c>
      <c r="N23" s="27">
        <f>SUMIFS('附表6-收入明细采集底稿'!P:P,'附表6-收入明细采集底稿'!B:B,B23,'附表6-收入明细采集底稿'!D:D,"&lt;-2")</f>
        <v>0</v>
      </c>
      <c r="O23" s="27">
        <f>SUMIFS('附表6-收入明细采集底稿'!P:P,'附表6-收入明细采集底稿'!B:B,B23,'附表6-收入明细采集底稿'!D:D,"-1",'附表6-收入明细采集底稿'!G:G,数据对照表!$A$12)</f>
        <v>0</v>
      </c>
      <c r="P23" s="27">
        <f>SUMIFS('附表6-收入明细采集底稿'!P:P,'附表6-收入明细采集底稿'!B:B,B23,'附表6-收入明细采集底稿'!D:D,"-2",'附表6-收入明细采集底稿'!G:G,数据对照表!$A$12)</f>
        <v>0</v>
      </c>
      <c r="Q23" s="27">
        <f>SUMIFS('附表6-收入明细采集底稿'!P:P,'附表6-收入明细采集底稿'!B:B,B23,'附表6-收入明细采集底稿'!D:D,"&lt;-2",'附表6-收入明细采集底稿'!G:G,数据对照表!$A$12)</f>
        <v>0</v>
      </c>
      <c r="R23" s="27">
        <f>SUMIFS('附表6-收入明细采集底稿'!P:P,'附表6-收入明细采集底稿'!B:B,B23)</f>
        <v>0</v>
      </c>
      <c r="S23" s="29"/>
      <c r="T23" s="34"/>
      <c r="U23" s="34"/>
    </row>
    <row r="24" s="11" customFormat="1" ht="24" customHeight="1" spans="1:21">
      <c r="A24" s="4"/>
      <c r="B24" s="4"/>
      <c r="C24" s="31"/>
      <c r="D24" s="32"/>
      <c r="E24" s="32"/>
      <c r="F24" s="34"/>
      <c r="G24" s="4"/>
      <c r="H24" s="4"/>
      <c r="I24" s="37">
        <f>IF(_xlfn.MAXIFS('附表6-收入明细采集底稿'!D:D,'附表6-收入明细采集底稿'!B:B,B24)&gt;0,_xlfn.MAXIFS('附表6-收入明细采集底稿'!D:D,'附表6-收入明细采集底稿'!B:B,B24),0)</f>
        <v>0</v>
      </c>
      <c r="J24" s="37">
        <f>IF(_xlfn.MINIFS('附表6-收入明细采集底稿'!D:D,'附表6-收入明细采集底稿'!B:B,B24)&lt;0,ABS(_xlfn.MINIFS('附表6-收入明细采集底稿'!D:D,'附表6-收入明细采集底稿'!B:B,B24)),0)</f>
        <v>0</v>
      </c>
      <c r="K24" s="27">
        <f>SUMIFS('附表6-收入明细采集底稿'!P:P,'附表6-收入明细采集底稿'!B:B,B24,'附表6-收入明细采集底稿'!D:D,"&gt;0")</f>
        <v>0</v>
      </c>
      <c r="L24" s="27">
        <f>SUMIFS('附表6-收入明细采集底稿'!P:P,'附表6-收入明细采集底稿'!B:B,B24,'附表6-收入明细采集底稿'!D:D,"=-1")</f>
        <v>0</v>
      </c>
      <c r="M24" s="27">
        <f>SUMIFS('附表6-收入明细采集底稿'!P:P,'附表6-收入明细采集底稿'!B:B,B24,'附表6-收入明细采集底稿'!D:D,"=-2")</f>
        <v>0</v>
      </c>
      <c r="N24" s="27">
        <f>SUMIFS('附表6-收入明细采集底稿'!P:P,'附表6-收入明细采集底稿'!B:B,B24,'附表6-收入明细采集底稿'!D:D,"&lt;-2")</f>
        <v>0</v>
      </c>
      <c r="O24" s="27">
        <f>SUMIFS('附表6-收入明细采集底稿'!P:P,'附表6-收入明细采集底稿'!B:B,B24,'附表6-收入明细采集底稿'!D:D,"-1",'附表6-收入明细采集底稿'!G:G,数据对照表!$A$12)</f>
        <v>0</v>
      </c>
      <c r="P24" s="27">
        <f>SUMIFS('附表6-收入明细采集底稿'!P:P,'附表6-收入明细采集底稿'!B:B,B24,'附表6-收入明细采集底稿'!D:D,"-2",'附表6-收入明细采集底稿'!G:G,数据对照表!$A$12)</f>
        <v>0</v>
      </c>
      <c r="Q24" s="27">
        <f>SUMIFS('附表6-收入明细采集底稿'!P:P,'附表6-收入明细采集底稿'!B:B,B24,'附表6-收入明细采集底稿'!D:D,"&lt;-2",'附表6-收入明细采集底稿'!G:G,数据对照表!$A$12)</f>
        <v>0</v>
      </c>
      <c r="R24" s="27">
        <f>SUMIFS('附表6-收入明细采集底稿'!P:P,'附表6-收入明细采集底稿'!B:B,B24)</f>
        <v>0</v>
      </c>
      <c r="S24" s="29"/>
      <c r="T24" s="34"/>
      <c r="U24" s="34"/>
    </row>
    <row r="25" s="11" customFormat="1" ht="24" customHeight="1" spans="1:21">
      <c r="A25" s="4"/>
      <c r="B25" s="4"/>
      <c r="C25" s="31"/>
      <c r="D25" s="32"/>
      <c r="E25" s="32"/>
      <c r="F25" s="34"/>
      <c r="G25" s="4"/>
      <c r="H25" s="4"/>
      <c r="I25" s="37">
        <f>IF(_xlfn.MAXIFS('附表6-收入明细采集底稿'!D:D,'附表6-收入明细采集底稿'!B:B,B25)&gt;0,_xlfn.MAXIFS('附表6-收入明细采集底稿'!D:D,'附表6-收入明细采集底稿'!B:B,B25),0)</f>
        <v>0</v>
      </c>
      <c r="J25" s="37">
        <f>IF(_xlfn.MINIFS('附表6-收入明细采集底稿'!D:D,'附表6-收入明细采集底稿'!B:B,B25)&lt;0,ABS(_xlfn.MINIFS('附表6-收入明细采集底稿'!D:D,'附表6-收入明细采集底稿'!B:B,B25)),0)</f>
        <v>0</v>
      </c>
      <c r="K25" s="27">
        <f>SUMIFS('附表6-收入明细采集底稿'!P:P,'附表6-收入明细采集底稿'!B:B,B25,'附表6-收入明细采集底稿'!D:D,"&gt;0")</f>
        <v>0</v>
      </c>
      <c r="L25" s="27">
        <f>SUMIFS('附表6-收入明细采集底稿'!P:P,'附表6-收入明细采集底稿'!B:B,B25,'附表6-收入明细采集底稿'!D:D,"=-1")</f>
        <v>0</v>
      </c>
      <c r="M25" s="27">
        <f>SUMIFS('附表6-收入明细采集底稿'!P:P,'附表6-收入明细采集底稿'!B:B,B25,'附表6-收入明细采集底稿'!D:D,"=-2")</f>
        <v>0</v>
      </c>
      <c r="N25" s="27">
        <f>SUMIFS('附表6-收入明细采集底稿'!P:P,'附表6-收入明细采集底稿'!B:B,B25,'附表6-收入明细采集底稿'!D:D,"&lt;-2")</f>
        <v>0</v>
      </c>
      <c r="O25" s="27">
        <f>SUMIFS('附表6-收入明细采集底稿'!P:P,'附表6-收入明细采集底稿'!B:B,B25,'附表6-收入明细采集底稿'!D:D,"-1",'附表6-收入明细采集底稿'!G:G,数据对照表!$A$12)</f>
        <v>0</v>
      </c>
      <c r="P25" s="27">
        <f>SUMIFS('附表6-收入明细采集底稿'!P:P,'附表6-收入明细采集底稿'!B:B,B25,'附表6-收入明细采集底稿'!D:D,"-2",'附表6-收入明细采集底稿'!G:G,数据对照表!$A$12)</f>
        <v>0</v>
      </c>
      <c r="Q25" s="27">
        <f>SUMIFS('附表6-收入明细采集底稿'!P:P,'附表6-收入明细采集底稿'!B:B,B25,'附表6-收入明细采集底稿'!D:D,"&lt;-2",'附表6-收入明细采集底稿'!G:G,数据对照表!$A$12)</f>
        <v>0</v>
      </c>
      <c r="R25" s="27">
        <f>SUMIFS('附表6-收入明细采集底稿'!P:P,'附表6-收入明细采集底稿'!B:B,B25)</f>
        <v>0</v>
      </c>
      <c r="S25" s="29"/>
      <c r="T25" s="34"/>
      <c r="U25" s="34"/>
    </row>
    <row r="26" s="11" customFormat="1" ht="24" customHeight="1" spans="1:21">
      <c r="A26" s="4"/>
      <c r="B26" s="4"/>
      <c r="C26" s="31"/>
      <c r="D26" s="32"/>
      <c r="E26" s="32"/>
      <c r="F26" s="34"/>
      <c r="G26" s="4"/>
      <c r="H26" s="4"/>
      <c r="I26" s="37">
        <f>IF(_xlfn.MAXIFS('附表6-收入明细采集底稿'!D:D,'附表6-收入明细采集底稿'!B:B,B26)&gt;0,_xlfn.MAXIFS('附表6-收入明细采集底稿'!D:D,'附表6-收入明细采集底稿'!B:B,B26),0)</f>
        <v>0</v>
      </c>
      <c r="J26" s="37">
        <f>IF(_xlfn.MINIFS('附表6-收入明细采集底稿'!D:D,'附表6-收入明细采集底稿'!B:B,B26)&lt;0,ABS(_xlfn.MINIFS('附表6-收入明细采集底稿'!D:D,'附表6-收入明细采集底稿'!B:B,B26)),0)</f>
        <v>0</v>
      </c>
      <c r="K26" s="27">
        <f>SUMIFS('附表6-收入明细采集底稿'!P:P,'附表6-收入明细采集底稿'!B:B,B26,'附表6-收入明细采集底稿'!D:D,"&gt;0")</f>
        <v>0</v>
      </c>
      <c r="L26" s="27">
        <f>SUMIFS('附表6-收入明细采集底稿'!P:P,'附表6-收入明细采集底稿'!B:B,B26,'附表6-收入明细采集底稿'!D:D,"=-1")</f>
        <v>0</v>
      </c>
      <c r="M26" s="27">
        <f>SUMIFS('附表6-收入明细采集底稿'!P:P,'附表6-收入明细采集底稿'!B:B,B26,'附表6-收入明细采集底稿'!D:D,"=-2")</f>
        <v>0</v>
      </c>
      <c r="N26" s="27">
        <f>SUMIFS('附表6-收入明细采集底稿'!P:P,'附表6-收入明细采集底稿'!B:B,B26,'附表6-收入明细采集底稿'!D:D,"&lt;-2")</f>
        <v>0</v>
      </c>
      <c r="O26" s="27">
        <f>SUMIFS('附表6-收入明细采集底稿'!P:P,'附表6-收入明细采集底稿'!B:B,B26,'附表6-收入明细采集底稿'!D:D,"-1",'附表6-收入明细采集底稿'!G:G,数据对照表!$A$12)</f>
        <v>0</v>
      </c>
      <c r="P26" s="27">
        <f>SUMIFS('附表6-收入明细采集底稿'!P:P,'附表6-收入明细采集底稿'!B:B,B26,'附表6-收入明细采集底稿'!D:D,"-2",'附表6-收入明细采集底稿'!G:G,数据对照表!$A$12)</f>
        <v>0</v>
      </c>
      <c r="Q26" s="27">
        <f>SUMIFS('附表6-收入明细采集底稿'!P:P,'附表6-收入明细采集底稿'!B:B,B26,'附表6-收入明细采集底稿'!D:D,"&lt;-2",'附表6-收入明细采集底稿'!G:G,数据对照表!$A$12)</f>
        <v>0</v>
      </c>
      <c r="R26" s="27">
        <f>SUMIFS('附表6-收入明细采集底稿'!P:P,'附表6-收入明细采集底稿'!B:B,B26)</f>
        <v>0</v>
      </c>
      <c r="S26" s="29"/>
      <c r="T26" s="34"/>
      <c r="U26" s="34"/>
    </row>
  </sheetData>
  <mergeCells count="43">
    <mergeCell ref="A1:U1"/>
    <mergeCell ref="A2:U2"/>
    <mergeCell ref="A3:U3"/>
    <mergeCell ref="A12:U12"/>
    <mergeCell ref="L13:N13"/>
    <mergeCell ref="O13:Q13"/>
    <mergeCell ref="A4:A7"/>
    <mergeCell ref="A8:A11"/>
    <mergeCell ref="A13:A15"/>
    <mergeCell ref="B4:B7"/>
    <mergeCell ref="B13:B14"/>
    <mergeCell ref="C4:C6"/>
    <mergeCell ref="C13:C14"/>
    <mergeCell ref="D4:D6"/>
    <mergeCell ref="D13:D14"/>
    <mergeCell ref="E4:E6"/>
    <mergeCell ref="E13:E14"/>
    <mergeCell ref="F4:F6"/>
    <mergeCell ref="F13:F14"/>
    <mergeCell ref="G4:G6"/>
    <mergeCell ref="G13:G14"/>
    <mergeCell ref="H4:H6"/>
    <mergeCell ref="H13:H14"/>
    <mergeCell ref="I4:I6"/>
    <mergeCell ref="I13:I14"/>
    <mergeCell ref="J4:J6"/>
    <mergeCell ref="J13:J14"/>
    <mergeCell ref="K4:K6"/>
    <mergeCell ref="K13:K14"/>
    <mergeCell ref="L4:L6"/>
    <mergeCell ref="M4:M6"/>
    <mergeCell ref="N4:N6"/>
    <mergeCell ref="O4:O6"/>
    <mergeCell ref="P4:P6"/>
    <mergeCell ref="Q4:Q6"/>
    <mergeCell ref="R4:R6"/>
    <mergeCell ref="R13:R14"/>
    <mergeCell ref="S4:S6"/>
    <mergeCell ref="S13:S14"/>
    <mergeCell ref="T4:T6"/>
    <mergeCell ref="T13:T14"/>
    <mergeCell ref="U4:U6"/>
    <mergeCell ref="U13:U14"/>
  </mergeCells>
  <dataValidations count="9">
    <dataValidation type="list" allowBlank="1" showInputMessage="1" showErrorMessage="1" sqref="C16:C1048576">
      <formula1>OFFSET(数据对照表!$V$2,,,COUNTA(数据对照表!$V:$V)-1,1)</formula1>
    </dataValidation>
    <dataValidation type="list" allowBlank="1" showInputMessage="1" showErrorMessage="1" sqref="H16:H1048576">
      <formula1>OFFSET(数据对照表!$AA$2,,,COUNTA(数据对照表!$AA:$AA)-1,1)</formula1>
    </dataValidation>
    <dataValidation type="list" allowBlank="1" showInputMessage="1" showErrorMessage="1" sqref="D16:D1048576">
      <formula1>OFFSET(数据对照表!$W$2,,,COUNTA(数据对照表!$W:$W)-1,1)</formula1>
    </dataValidation>
    <dataValidation type="list" allowBlank="1" showInputMessage="1" showErrorMessage="1" sqref="E16:E1048576">
      <formula1>OFFSET(数据对照表!$X$2,,,COUNTA(数据对照表!$X:$X)-1,1)</formula1>
    </dataValidation>
    <dataValidation type="list" allowBlank="1" showInputMessage="1" showErrorMessage="1" sqref="U27:U1048576">
      <formula1>OFFSET(数据对照表!$AA$2,,,COUNTA(数据对照表!AE:AE)-1,1)</formula1>
    </dataValidation>
    <dataValidation type="list" allowBlank="1" showInputMessage="1" showErrorMessage="1" sqref="F16:F1048576">
      <formula1>OFFSET(数据对照表!$Y$2,,,COUNTA(数据对照表!$Y:$Y)-1,1)</formula1>
    </dataValidation>
    <dataValidation type="list" allowBlank="1" showInputMessage="1" showErrorMessage="1" sqref="G16:G1048576">
      <formula1>OFFSET(数据对照表!$Z$2,,,COUNTA(数据对照表!$Z:$Z)-1,1)</formula1>
    </dataValidation>
    <dataValidation type="list" allowBlank="1" showInputMessage="1" showErrorMessage="1" sqref="T27:T1048576">
      <formula1>OFFSET(数据对照表!$Z$2,,,COUNTA(数据对照表!AC:AC)-1,1)</formula1>
    </dataValidation>
    <dataValidation allowBlank="1" showInputMessage="1" showErrorMessage="1" sqref="T16:U26"/>
  </dataValidations>
  <pageMargins left="0.747916666666667" right="0.747916666666667" top="0.984027777777778" bottom="0.984027777777778" header="0.511805555555556" footer="0.511805555555556"/>
  <pageSetup paperSize="9" scale="57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23"/>
  <sheetViews>
    <sheetView zoomScale="110" zoomScaleNormal="110" workbookViewId="0">
      <selection activeCell="X19" sqref="X19"/>
    </sheetView>
  </sheetViews>
  <sheetFormatPr defaultColWidth="15.625" defaultRowHeight="12"/>
  <cols>
    <col min="1" max="1" width="15" style="1" customWidth="1"/>
    <col min="2" max="2" width="29.375" style="1" customWidth="1"/>
    <col min="3" max="3" width="22.625" style="1" customWidth="1"/>
    <col min="4" max="4" width="15.625" style="1" customWidth="1"/>
    <col min="5" max="6" width="15.625" style="1"/>
    <col min="7" max="7" width="19.125" style="1" customWidth="1"/>
    <col min="8" max="28" width="15.625" style="1"/>
    <col min="29" max="30" width="23.125" style="1" customWidth="1"/>
    <col min="31" max="31" width="21.125" style="1" customWidth="1"/>
    <col min="32" max="16384" width="15.625" style="1"/>
  </cols>
  <sheetData>
    <row r="1" ht="24.95" customHeight="1" spans="1:31">
      <c r="A1" s="2" t="s">
        <v>196</v>
      </c>
      <c r="B1" s="2" t="s">
        <v>424</v>
      </c>
      <c r="C1" s="2" t="s">
        <v>425</v>
      </c>
      <c r="D1" s="2" t="s">
        <v>426</v>
      </c>
      <c r="E1" s="2" t="s">
        <v>427</v>
      </c>
      <c r="F1" s="2" t="s">
        <v>428</v>
      </c>
      <c r="G1" s="2" t="s">
        <v>429</v>
      </c>
      <c r="H1" s="2" t="s">
        <v>430</v>
      </c>
      <c r="I1" s="2" t="s">
        <v>431</v>
      </c>
      <c r="J1" s="2" t="s">
        <v>432</v>
      </c>
      <c r="K1" s="2" t="s">
        <v>274</v>
      </c>
      <c r="L1" s="2" t="s">
        <v>275</v>
      </c>
      <c r="M1" s="2" t="s">
        <v>424</v>
      </c>
      <c r="N1" s="2" t="s">
        <v>425</v>
      </c>
      <c r="O1" s="2" t="s">
        <v>426</v>
      </c>
      <c r="P1" s="2" t="s">
        <v>427</v>
      </c>
      <c r="Q1" s="2" t="s">
        <v>428</v>
      </c>
      <c r="R1" s="2" t="s">
        <v>429</v>
      </c>
      <c r="S1" s="2" t="s">
        <v>430</v>
      </c>
      <c r="T1" s="2" t="s">
        <v>431</v>
      </c>
      <c r="U1" s="2" t="s">
        <v>322</v>
      </c>
      <c r="V1" s="2" t="s">
        <v>396</v>
      </c>
      <c r="W1" s="2" t="s">
        <v>397</v>
      </c>
      <c r="X1" s="2" t="s">
        <v>398</v>
      </c>
      <c r="Y1" s="2" t="s">
        <v>399</v>
      </c>
      <c r="Z1" s="2" t="s">
        <v>400</v>
      </c>
      <c r="AA1" s="2" t="s">
        <v>401</v>
      </c>
      <c r="AB1" s="2" t="s">
        <v>433</v>
      </c>
      <c r="AC1" s="2" t="s">
        <v>125</v>
      </c>
      <c r="AD1" s="2" t="s">
        <v>434</v>
      </c>
      <c r="AE1" s="2" t="s">
        <v>357</v>
      </c>
    </row>
    <row r="2" ht="24.95" customHeight="1" spans="1:31">
      <c r="A2" s="3" t="s">
        <v>138</v>
      </c>
      <c r="B2" s="3" t="s">
        <v>435</v>
      </c>
      <c r="C2" s="4" t="s">
        <v>436</v>
      </c>
      <c r="D2" s="4" t="s">
        <v>437</v>
      </c>
      <c r="E2" s="4" t="s">
        <v>438</v>
      </c>
      <c r="F2" s="4" t="s">
        <v>439</v>
      </c>
      <c r="G2" s="4" t="s">
        <v>440</v>
      </c>
      <c r="H2" s="4" t="s">
        <v>441</v>
      </c>
      <c r="I2" s="5" t="s">
        <v>442</v>
      </c>
      <c r="J2" s="5" t="s">
        <v>443</v>
      </c>
      <c r="K2" s="5" t="s">
        <v>444</v>
      </c>
      <c r="L2" s="5" t="s">
        <v>445</v>
      </c>
      <c r="M2" s="5" t="s">
        <v>347</v>
      </c>
      <c r="N2" s="5" t="s">
        <v>347</v>
      </c>
      <c r="O2" s="5" t="s">
        <v>347</v>
      </c>
      <c r="P2" s="5" t="s">
        <v>347</v>
      </c>
      <c r="Q2" s="5" t="s">
        <v>347</v>
      </c>
      <c r="R2" s="5" t="s">
        <v>347</v>
      </c>
      <c r="S2" s="5" t="s">
        <v>347</v>
      </c>
      <c r="T2" s="5" t="s">
        <v>444</v>
      </c>
      <c r="U2" s="5" t="s">
        <v>446</v>
      </c>
      <c r="V2" s="6" t="s">
        <v>447</v>
      </c>
      <c r="W2" s="4" t="s">
        <v>448</v>
      </c>
      <c r="X2" s="4" t="s">
        <v>449</v>
      </c>
      <c r="Y2" s="4" t="s">
        <v>450</v>
      </c>
      <c r="Z2" s="4" t="s">
        <v>451</v>
      </c>
      <c r="AA2" s="4" t="s">
        <v>452</v>
      </c>
      <c r="AB2" s="7" t="s">
        <v>260</v>
      </c>
      <c r="AC2" s="8" t="s">
        <v>260</v>
      </c>
      <c r="AD2" s="8" t="s">
        <v>263</v>
      </c>
      <c r="AE2" s="7" t="s">
        <v>445</v>
      </c>
    </row>
    <row r="3" ht="24.95" customHeight="1" spans="1:31">
      <c r="A3" s="3" t="s">
        <v>139</v>
      </c>
      <c r="B3" s="3" t="s">
        <v>453</v>
      </c>
      <c r="C3" s="4" t="s">
        <v>454</v>
      </c>
      <c r="D3" s="4" t="s">
        <v>455</v>
      </c>
      <c r="E3" s="4" t="s">
        <v>456</v>
      </c>
      <c r="F3" s="4" t="s">
        <v>457</v>
      </c>
      <c r="G3" s="4" t="s">
        <v>458</v>
      </c>
      <c r="H3" s="4" t="s">
        <v>459</v>
      </c>
      <c r="J3" s="5" t="s">
        <v>460</v>
      </c>
      <c r="L3" s="5" t="s">
        <v>461</v>
      </c>
      <c r="M3" s="5" t="s">
        <v>462</v>
      </c>
      <c r="N3" s="5" t="s">
        <v>462</v>
      </c>
      <c r="O3" s="5" t="s">
        <v>462</v>
      </c>
      <c r="P3" s="5" t="s">
        <v>462</v>
      </c>
      <c r="Q3" s="5" t="s">
        <v>462</v>
      </c>
      <c r="R3" s="5" t="s">
        <v>462</v>
      </c>
      <c r="S3" s="5" t="s">
        <v>462</v>
      </c>
      <c r="U3" s="5" t="s">
        <v>463</v>
      </c>
      <c r="V3" s="6" t="s">
        <v>464</v>
      </c>
      <c r="W3" s="4" t="s">
        <v>465</v>
      </c>
      <c r="X3" s="4" t="s">
        <v>466</v>
      </c>
      <c r="Y3" s="4" t="s">
        <v>467</v>
      </c>
      <c r="Z3" s="4" t="s">
        <v>468</v>
      </c>
      <c r="AA3" s="4" t="s">
        <v>469</v>
      </c>
      <c r="AB3" s="7" t="s">
        <v>470</v>
      </c>
      <c r="AC3" s="7" t="s">
        <v>470</v>
      </c>
      <c r="AD3" s="7" t="s">
        <v>471</v>
      </c>
      <c r="AE3" s="7" t="s">
        <v>472</v>
      </c>
    </row>
    <row r="4" ht="24.95" customHeight="1" spans="1:31">
      <c r="A4" s="3" t="s">
        <v>106</v>
      </c>
      <c r="B4" s="3" t="s">
        <v>473</v>
      </c>
      <c r="C4" s="4" t="s">
        <v>474</v>
      </c>
      <c r="D4" s="4" t="s">
        <v>475</v>
      </c>
      <c r="E4" s="4" t="s">
        <v>476</v>
      </c>
      <c r="F4" s="4" t="s">
        <v>477</v>
      </c>
      <c r="G4" s="4" t="s">
        <v>478</v>
      </c>
      <c r="H4" s="4" t="s">
        <v>479</v>
      </c>
      <c r="J4" s="5" t="s">
        <v>480</v>
      </c>
      <c r="L4" s="5" t="s">
        <v>260</v>
      </c>
      <c r="U4" s="5" t="s">
        <v>481</v>
      </c>
      <c r="V4" s="6" t="s">
        <v>482</v>
      </c>
      <c r="W4" s="7" t="s">
        <v>483</v>
      </c>
      <c r="X4" s="4" t="s">
        <v>484</v>
      </c>
      <c r="Y4" s="4" t="s">
        <v>485</v>
      </c>
      <c r="Z4" s="4" t="s">
        <v>486</v>
      </c>
      <c r="AA4" s="4" t="s">
        <v>487</v>
      </c>
      <c r="AC4" s="7"/>
      <c r="AD4" s="9"/>
      <c r="AE4" s="7" t="s">
        <v>260</v>
      </c>
    </row>
    <row r="5" ht="24.95" customHeight="1" spans="1:31">
      <c r="A5" s="3" t="s">
        <v>107</v>
      </c>
      <c r="C5" s="4" t="s">
        <v>488</v>
      </c>
      <c r="D5" s="4" t="s">
        <v>489</v>
      </c>
      <c r="E5" s="4" t="s">
        <v>490</v>
      </c>
      <c r="F5" s="4" t="s">
        <v>491</v>
      </c>
      <c r="G5" s="4" t="s">
        <v>492</v>
      </c>
      <c r="H5" s="4" t="s">
        <v>493</v>
      </c>
      <c r="J5" s="5" t="s">
        <v>494</v>
      </c>
      <c r="L5" s="5" t="s">
        <v>495</v>
      </c>
      <c r="U5" s="5" t="s">
        <v>496</v>
      </c>
      <c r="V5" s="6" t="s">
        <v>497</v>
      </c>
      <c r="W5" s="4" t="s">
        <v>498</v>
      </c>
      <c r="X5" s="7" t="s">
        <v>499</v>
      </c>
      <c r="Y5" s="4" t="s">
        <v>500</v>
      </c>
      <c r="AA5" s="4" t="s">
        <v>501</v>
      </c>
      <c r="AE5" s="7" t="s">
        <v>502</v>
      </c>
    </row>
    <row r="6" ht="24.95" customHeight="1" spans="1:31">
      <c r="A6" s="3" t="s">
        <v>108</v>
      </c>
      <c r="C6" s="4" t="s">
        <v>503</v>
      </c>
      <c r="D6" s="4" t="s">
        <v>504</v>
      </c>
      <c r="E6" s="4" t="s">
        <v>505</v>
      </c>
      <c r="F6" s="4" t="s">
        <v>506</v>
      </c>
      <c r="G6" s="4" t="s">
        <v>507</v>
      </c>
      <c r="H6" s="4" t="s">
        <v>508</v>
      </c>
      <c r="J6" s="5" t="s">
        <v>509</v>
      </c>
      <c r="L6" s="5" t="s">
        <v>510</v>
      </c>
      <c r="U6" s="5" t="s">
        <v>511</v>
      </c>
      <c r="V6" s="6" t="s">
        <v>512</v>
      </c>
      <c r="W6" s="4" t="s">
        <v>513</v>
      </c>
      <c r="Y6" s="7" t="s">
        <v>514</v>
      </c>
      <c r="AA6" s="10"/>
      <c r="AE6" s="7" t="s">
        <v>515</v>
      </c>
    </row>
    <row r="7" ht="24.95" customHeight="1" spans="1:27">
      <c r="A7" s="3" t="s">
        <v>516</v>
      </c>
      <c r="C7" s="4" t="s">
        <v>517</v>
      </c>
      <c r="D7" s="4" t="s">
        <v>518</v>
      </c>
      <c r="E7" s="4" t="s">
        <v>519</v>
      </c>
      <c r="F7" s="4" t="s">
        <v>520</v>
      </c>
      <c r="G7" s="4" t="s">
        <v>521</v>
      </c>
      <c r="H7" s="4" t="s">
        <v>522</v>
      </c>
      <c r="J7" s="5" t="s">
        <v>523</v>
      </c>
      <c r="L7" s="5" t="s">
        <v>470</v>
      </c>
      <c r="U7" s="5" t="s">
        <v>524</v>
      </c>
      <c r="V7" s="6" t="s">
        <v>525</v>
      </c>
      <c r="W7" s="7" t="s">
        <v>526</v>
      </c>
      <c r="AA7" s="10"/>
    </row>
    <row r="8" ht="24.95" customHeight="1" spans="1:23">
      <c r="A8" s="3" t="s">
        <v>527</v>
      </c>
      <c r="D8" s="4" t="s">
        <v>528</v>
      </c>
      <c r="F8" s="4" t="s">
        <v>529</v>
      </c>
      <c r="G8" s="4" t="s">
        <v>530</v>
      </c>
      <c r="H8" s="4" t="s">
        <v>531</v>
      </c>
      <c r="J8" s="5" t="s">
        <v>532</v>
      </c>
      <c r="U8" s="5" t="s">
        <v>533</v>
      </c>
      <c r="V8" s="6" t="s">
        <v>534</v>
      </c>
      <c r="W8" s="7" t="s">
        <v>109</v>
      </c>
    </row>
    <row r="9" ht="24.95" customHeight="1" spans="1:21">
      <c r="A9" s="3" t="s">
        <v>535</v>
      </c>
      <c r="D9" s="4" t="s">
        <v>536</v>
      </c>
      <c r="F9" s="4" t="s">
        <v>537</v>
      </c>
      <c r="G9" s="4" t="s">
        <v>538</v>
      </c>
      <c r="H9" s="4" t="s">
        <v>539</v>
      </c>
      <c r="U9" s="5" t="s">
        <v>540</v>
      </c>
    </row>
    <row r="10" ht="24.95" customHeight="1" spans="1:21">
      <c r="A10" s="3" t="s">
        <v>541</v>
      </c>
      <c r="D10" s="4" t="s">
        <v>542</v>
      </c>
      <c r="F10" s="4" t="s">
        <v>543</v>
      </c>
      <c r="G10" s="4" t="s">
        <v>544</v>
      </c>
      <c r="H10" s="4" t="s">
        <v>545</v>
      </c>
      <c r="U10" s="5" t="s">
        <v>546</v>
      </c>
    </row>
    <row r="11" ht="24.95" customHeight="1" spans="1:21">
      <c r="A11" s="3" t="s">
        <v>547</v>
      </c>
      <c r="F11" s="4" t="s">
        <v>548</v>
      </c>
      <c r="G11" s="4" t="s">
        <v>549</v>
      </c>
      <c r="U11" s="5" t="s">
        <v>550</v>
      </c>
    </row>
    <row r="12" ht="24.95" customHeight="1" spans="1:21">
      <c r="A12" s="3" t="s">
        <v>551</v>
      </c>
      <c r="F12" s="4" t="s">
        <v>552</v>
      </c>
      <c r="G12" s="4" t="s">
        <v>553</v>
      </c>
      <c r="U12" s="5" t="s">
        <v>554</v>
      </c>
    </row>
    <row r="13" ht="24.95" customHeight="1" spans="1:21">
      <c r="A13" s="3" t="s">
        <v>555</v>
      </c>
      <c r="G13" s="4" t="s">
        <v>556</v>
      </c>
      <c r="U13" s="5" t="s">
        <v>557</v>
      </c>
    </row>
    <row r="14" ht="24.95" customHeight="1" spans="1:21">
      <c r="A14" s="3" t="s">
        <v>558</v>
      </c>
      <c r="G14" s="4" t="s">
        <v>559</v>
      </c>
      <c r="U14" s="5" t="s">
        <v>560</v>
      </c>
    </row>
    <row r="15" ht="24.95" customHeight="1" spans="1:7">
      <c r="A15" s="3" t="s">
        <v>561</v>
      </c>
      <c r="G15" s="4" t="s">
        <v>562</v>
      </c>
    </row>
    <row r="16" ht="24.95" customHeight="1" spans="1:7">
      <c r="A16" s="3" t="s">
        <v>563</v>
      </c>
      <c r="G16" s="4" t="s">
        <v>564</v>
      </c>
    </row>
    <row r="17" ht="24.95" customHeight="1" spans="1:7">
      <c r="A17" s="3" t="s">
        <v>565</v>
      </c>
      <c r="G17" s="4" t="s">
        <v>566</v>
      </c>
    </row>
    <row r="18" ht="24.95" customHeight="1" spans="1:1">
      <c r="A18" s="3" t="s">
        <v>567</v>
      </c>
    </row>
    <row r="19" ht="24.95" customHeight="1" spans="1:1">
      <c r="A19" s="3" t="s">
        <v>568</v>
      </c>
    </row>
    <row r="20" ht="24.95" customHeight="1" spans="1:1">
      <c r="A20" s="3" t="s">
        <v>569</v>
      </c>
    </row>
    <row r="21" ht="24.95" customHeight="1" spans="1:1">
      <c r="A21" s="3" t="s">
        <v>570</v>
      </c>
    </row>
    <row r="22" ht="24.95" customHeight="1" spans="1:1">
      <c r="A22" s="3" t="s">
        <v>571</v>
      </c>
    </row>
    <row r="23" ht="24.95" customHeight="1" spans="1:1">
      <c r="A23" s="3" t="s">
        <v>572</v>
      </c>
    </row>
  </sheetData>
  <sheetProtection formatCells="0" formatColumns="0" formatRows="0" autoFilter="0"/>
  <dataValidations count="1">
    <dataValidation type="list" allowBlank="1" showInputMessage="1" showErrorMessage="1" sqref="I2">
      <formula1>"利息支出"</formula1>
    </dataValidation>
  </dataValidations>
  <pageMargins left="0.75" right="0.75" top="1" bottom="1" header="0.511805555555556" footer="0.511805555555556"/>
  <pageSetup paperSize="9" scale="2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zoomScale="110" zoomScaleNormal="110" workbookViewId="0">
      <selection activeCell="B20" sqref="B20"/>
    </sheetView>
  </sheetViews>
  <sheetFormatPr defaultColWidth="9" defaultRowHeight="14.25"/>
  <cols>
    <col min="1" max="1" width="22.875" style="341" customWidth="1"/>
    <col min="2" max="2" width="54.625" style="341" customWidth="1"/>
    <col min="3" max="3" width="18.625" customWidth="1"/>
  </cols>
  <sheetData>
    <row r="1" ht="60" customHeight="1" spans="1:3">
      <c r="A1" s="342" t="s">
        <v>17</v>
      </c>
      <c r="B1" s="342"/>
      <c r="C1" s="342"/>
    </row>
    <row r="2" ht="35.1" customHeight="1" spans="1:3">
      <c r="A2" s="343" t="s">
        <v>18</v>
      </c>
      <c r="B2" s="343" t="s">
        <v>19</v>
      </c>
      <c r="C2" s="343" t="s">
        <v>20</v>
      </c>
    </row>
    <row r="3" ht="35.1" customHeight="1" spans="1:3">
      <c r="A3" s="344" t="s">
        <v>21</v>
      </c>
      <c r="B3" s="345" t="s">
        <v>22</v>
      </c>
      <c r="C3" s="346" t="s">
        <v>23</v>
      </c>
    </row>
    <row r="4" ht="35.1" customHeight="1" spans="1:3">
      <c r="A4" s="344" t="s">
        <v>24</v>
      </c>
      <c r="B4" s="345" t="s">
        <v>25</v>
      </c>
      <c r="C4" s="346" t="s">
        <v>23</v>
      </c>
    </row>
    <row r="5" ht="35.1" customHeight="1" spans="1:3">
      <c r="A5" s="344" t="s">
        <v>26</v>
      </c>
      <c r="B5" s="345" t="s">
        <v>27</v>
      </c>
      <c r="C5" s="346" t="s">
        <v>23</v>
      </c>
    </row>
    <row r="6" ht="35.1" customHeight="1" spans="1:13">
      <c r="A6" s="344" t="s">
        <v>28</v>
      </c>
      <c r="B6" s="345" t="s">
        <v>29</v>
      </c>
      <c r="C6" s="346" t="s">
        <v>23</v>
      </c>
      <c r="D6" s="347"/>
      <c r="E6" s="347"/>
      <c r="F6" s="347"/>
      <c r="G6" s="347"/>
      <c r="H6" s="347"/>
      <c r="I6" s="347"/>
      <c r="J6" s="347"/>
      <c r="K6" s="347"/>
      <c r="L6" s="347"/>
      <c r="M6" s="347"/>
    </row>
    <row r="7" ht="35.1" customHeight="1" spans="1:13">
      <c r="A7" s="344" t="s">
        <v>30</v>
      </c>
      <c r="B7" s="345" t="s">
        <v>31</v>
      </c>
      <c r="C7" s="346" t="s">
        <v>23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</row>
    <row r="8" ht="35.1" customHeight="1" spans="1:13">
      <c r="A8" s="344" t="s">
        <v>32</v>
      </c>
      <c r="B8" s="345" t="s">
        <v>33</v>
      </c>
      <c r="C8" s="346" t="s">
        <v>23</v>
      </c>
      <c r="D8" s="347"/>
      <c r="E8" s="347"/>
      <c r="F8" s="347"/>
      <c r="G8" s="347"/>
      <c r="H8" s="347"/>
      <c r="I8" s="347"/>
      <c r="J8" s="347"/>
      <c r="K8" s="347"/>
      <c r="L8" s="347"/>
      <c r="M8" s="347"/>
    </row>
    <row r="9" ht="35.1" customHeight="1" spans="1:13">
      <c r="A9" s="344" t="s">
        <v>34</v>
      </c>
      <c r="B9" s="345" t="s">
        <v>35</v>
      </c>
      <c r="C9" s="346" t="s">
        <v>23</v>
      </c>
      <c r="D9" s="347"/>
      <c r="E9" s="347"/>
      <c r="F9" s="347"/>
      <c r="G9" s="347"/>
      <c r="H9" s="347"/>
      <c r="I9" s="347"/>
      <c r="J9" s="347"/>
      <c r="K9" s="347"/>
      <c r="L9" s="347"/>
      <c r="M9" s="347"/>
    </row>
    <row r="10" ht="35.1" customHeight="1" spans="1:13">
      <c r="A10" s="344" t="s">
        <v>36</v>
      </c>
      <c r="B10" s="345" t="s">
        <v>37</v>
      </c>
      <c r="C10" s="346" t="s">
        <v>23</v>
      </c>
      <c r="D10" s="347"/>
      <c r="E10" s="347"/>
      <c r="F10" s="347"/>
      <c r="G10" s="347"/>
      <c r="H10" s="347"/>
      <c r="I10" s="347"/>
      <c r="J10" s="347"/>
      <c r="K10" s="347"/>
      <c r="L10" s="347"/>
      <c r="M10" s="347"/>
    </row>
    <row r="11" ht="35.1" customHeight="1" spans="1:13">
      <c r="A11" s="344" t="s">
        <v>38</v>
      </c>
      <c r="B11" s="345" t="s">
        <v>39</v>
      </c>
      <c r="C11" s="346" t="s">
        <v>23</v>
      </c>
      <c r="D11" s="347"/>
      <c r="E11" s="347"/>
      <c r="F11" s="347"/>
      <c r="G11" s="347"/>
      <c r="H11" s="347"/>
      <c r="I11" s="347"/>
      <c r="J11" s="347"/>
      <c r="K11" s="347"/>
      <c r="L11" s="347"/>
      <c r="M11" s="347"/>
    </row>
    <row r="12" ht="35.1" customHeight="1" spans="1:13">
      <c r="A12" s="344" t="s">
        <v>40</v>
      </c>
      <c r="B12" s="345" t="s">
        <v>41</v>
      </c>
      <c r="C12" s="346" t="s">
        <v>23</v>
      </c>
      <c r="D12" s="347"/>
      <c r="E12" s="347"/>
      <c r="F12" s="347"/>
      <c r="G12" s="347"/>
      <c r="H12" s="347"/>
      <c r="I12" s="347"/>
      <c r="J12" s="347"/>
      <c r="K12" s="347"/>
      <c r="L12" s="347"/>
      <c r="M12" s="347"/>
    </row>
    <row r="13" ht="35.1" customHeight="1" spans="1:13">
      <c r="A13" s="344" t="s">
        <v>42</v>
      </c>
      <c r="B13" s="345" t="s">
        <v>43</v>
      </c>
      <c r="C13" s="346" t="s">
        <v>23</v>
      </c>
      <c r="D13" s="347"/>
      <c r="E13" s="347"/>
      <c r="F13" s="347"/>
      <c r="G13" s="347"/>
      <c r="H13" s="347"/>
      <c r="I13" s="347"/>
      <c r="J13" s="347"/>
      <c r="K13" s="347"/>
      <c r="L13" s="347"/>
      <c r="M13" s="347"/>
    </row>
    <row r="14" spans="1:13">
      <c r="A14" s="348"/>
      <c r="B14" s="348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</row>
    <row r="15" spans="1:13">
      <c r="A15" s="348"/>
      <c r="B15" s="348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</row>
    <row r="16" spans="1:13">
      <c r="A16" s="348"/>
      <c r="B16" s="348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</row>
  </sheetData>
  <mergeCells count="1">
    <mergeCell ref="A1:C1"/>
  </mergeCells>
  <hyperlinks>
    <hyperlink ref="B3" location="清算项目基本情况表!A1" display="清算项目基本情况表"/>
    <hyperlink ref="B4" location="土地增值税税源明细表!A1" display="土地增值税税源明细表"/>
    <hyperlink ref="B5" location="'附表1-面积统计表'!A1" display="附表1-面积统计表"/>
    <hyperlink ref="B6" location="'附表2-收入统计表'!A1" display="附表2-收入统计表"/>
    <hyperlink ref="B10" location="'附表6-收入明细采集底稿'!A1" display="附表6-收入明细采集底稿"/>
    <hyperlink ref="B7" location="'附表3-扣除项目分摊表'!A1" display="附表3-扣除项目分摊表"/>
    <hyperlink ref="B8" location="'附表4-项目间共同扣除金额分摊表'!A1" display="附表4-项目间分摊信息采集表"/>
    <hyperlink ref="B9" location="'附表5-扣除项目统计表'!A1" display="附表5-扣除项目统计表"/>
    <hyperlink ref="B11" location="'附表7-扣除项目明细采集底稿'!A1" display="附表7-扣除项目明细采集底稿"/>
    <hyperlink ref="B12" location="'附表8-合同明细采集底稿'!A1" display="附表8-合同明细采集底稿"/>
    <hyperlink ref="B13" location="工程造价采集表!A1" display="工程造价采集表"/>
  </hyperlinks>
  <printOptions horizontalCentered="1"/>
  <pageMargins left="0.788888888888889" right="0.75" top="1" bottom="1" header="0.509027777777778" footer="0.509027777777778"/>
  <pageSetup paperSize="9" scale="83" fitToHeight="0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36"/>
  <sheetViews>
    <sheetView zoomScale="89" zoomScaleNormal="89" workbookViewId="0">
      <selection activeCell="C33" sqref="C33:G33"/>
    </sheetView>
  </sheetViews>
  <sheetFormatPr defaultColWidth="11" defaultRowHeight="14.25"/>
  <cols>
    <col min="1" max="1" width="6.125" style="317" customWidth="1"/>
    <col min="2" max="2" width="22.125" style="317" customWidth="1"/>
    <col min="3" max="3" width="15.375" style="317" customWidth="1"/>
    <col min="4" max="5" width="5.875" style="317" customWidth="1"/>
    <col min="6" max="6" width="11.875" style="317" customWidth="1"/>
    <col min="7" max="7" width="10.125" style="317" customWidth="1"/>
    <col min="8" max="8" width="5.875" style="317" customWidth="1"/>
    <col min="9" max="9" width="13.125" style="317" customWidth="1"/>
    <col min="10" max="10" width="12.125" style="317" customWidth="1"/>
    <col min="11" max="11" width="1.625" style="317" customWidth="1"/>
    <col min="12" max="12" width="12.875" style="317" customWidth="1"/>
    <col min="13" max="17" width="5.875" style="317" customWidth="1"/>
    <col min="18" max="18" width="5.625" style="317" customWidth="1"/>
    <col min="19" max="31" width="5.875" style="317" customWidth="1"/>
    <col min="32" max="32" width="7.125" style="317" customWidth="1"/>
    <col min="33" max="34" width="5.875" style="317" customWidth="1"/>
    <col min="35" max="35" width="12.625" style="317" customWidth="1"/>
    <col min="36" max="16384" width="11" style="317"/>
  </cols>
  <sheetData>
    <row r="1" ht="34.5" spans="1:35">
      <c r="A1" s="318" t="str">
        <f>目录!A3&amp;目录!B3</f>
        <v>T10000清算项目基本情况表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</row>
    <row r="2" ht="25.5" spans="1:35">
      <c r="A2" s="320" t="s">
        <v>44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</row>
    <row r="3" ht="36" customHeight="1" spans="1:35">
      <c r="A3" s="321" t="s">
        <v>45</v>
      </c>
      <c r="B3" s="321"/>
      <c r="C3" s="322"/>
      <c r="D3" s="322"/>
      <c r="E3" s="322"/>
      <c r="F3" s="322"/>
      <c r="G3" s="323" t="s">
        <v>5</v>
      </c>
      <c r="H3" s="32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 t="s">
        <v>46</v>
      </c>
      <c r="AA3" s="333"/>
      <c r="AB3" s="333"/>
      <c r="AC3" s="333"/>
      <c r="AD3" s="333"/>
      <c r="AE3" s="333"/>
      <c r="AF3" s="333"/>
      <c r="AG3" s="333"/>
      <c r="AH3" s="333"/>
      <c r="AI3" s="333"/>
    </row>
    <row r="4" customFormat="1" ht="36" customHeight="1" spans="1:35">
      <c r="A4" s="324" t="s">
        <v>47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4"/>
      <c r="Q4" s="324"/>
      <c r="R4" s="324"/>
      <c r="S4" s="324"/>
      <c r="T4" s="325"/>
      <c r="U4" s="325"/>
      <c r="V4" s="325"/>
      <c r="W4" s="325"/>
      <c r="X4" s="325"/>
      <c r="Y4" s="325"/>
      <c r="Z4" s="324" t="s">
        <v>48</v>
      </c>
      <c r="AA4" s="325"/>
      <c r="AB4" s="325"/>
      <c r="AC4" s="324"/>
      <c r="AD4" s="324"/>
      <c r="AE4" s="325"/>
      <c r="AF4" s="325"/>
      <c r="AG4" s="325"/>
      <c r="AH4" s="325"/>
      <c r="AI4" s="325"/>
    </row>
    <row r="5" ht="36" customHeight="1" spans="1:35">
      <c r="A5" s="326" t="s">
        <v>49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</row>
    <row r="6" ht="36" customHeight="1" spans="1:35">
      <c r="A6" s="327" t="s">
        <v>50</v>
      </c>
      <c r="B6" s="327"/>
      <c r="C6" s="327"/>
      <c r="D6" s="327"/>
      <c r="E6" s="327"/>
      <c r="F6" s="327"/>
      <c r="G6" s="327"/>
      <c r="H6" s="327" t="s">
        <v>51</v>
      </c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34"/>
      <c r="T6" s="334"/>
      <c r="U6" s="334"/>
      <c r="V6" s="334"/>
      <c r="W6" s="334"/>
      <c r="X6" s="327" t="s">
        <v>52</v>
      </c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</row>
    <row r="7" ht="36" customHeight="1" spans="1:35">
      <c r="A7" s="327" t="s">
        <v>53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 t="s">
        <v>54</v>
      </c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</row>
    <row r="8" s="316" customFormat="1" ht="36" customHeight="1" spans="1:35">
      <c r="A8" s="328" t="s">
        <v>55</v>
      </c>
      <c r="B8" s="329"/>
      <c r="C8" s="330"/>
      <c r="D8" s="328"/>
      <c r="E8" s="329"/>
      <c r="F8" s="329"/>
      <c r="G8" s="330"/>
      <c r="H8" s="331" t="s">
        <v>56</v>
      </c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28"/>
      <c r="T8" s="329"/>
      <c r="U8" s="329"/>
      <c r="V8" s="329"/>
      <c r="W8" s="330"/>
      <c r="X8" s="335" t="s">
        <v>57</v>
      </c>
      <c r="Y8" s="336"/>
      <c r="Z8" s="336"/>
      <c r="AA8" s="336"/>
      <c r="AB8" s="336"/>
      <c r="AC8" s="336"/>
      <c r="AD8" s="336"/>
      <c r="AE8" s="336"/>
      <c r="AF8" s="337"/>
      <c r="AG8" s="331"/>
      <c r="AH8" s="331"/>
      <c r="AI8" s="331"/>
    </row>
    <row r="9" ht="36" customHeight="1" spans="1:35">
      <c r="A9" s="327" t="s">
        <v>58</v>
      </c>
      <c r="B9" s="327"/>
      <c r="C9" s="327"/>
      <c r="D9" s="327"/>
      <c r="E9" s="327"/>
      <c r="F9" s="327"/>
      <c r="G9" s="327"/>
      <c r="H9" s="327" t="s">
        <v>59</v>
      </c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 t="s">
        <v>60</v>
      </c>
      <c r="T9" s="327"/>
      <c r="U9" s="327"/>
      <c r="V9" s="327"/>
      <c r="W9" s="327"/>
      <c r="X9" s="327"/>
      <c r="Y9" s="327"/>
      <c r="Z9" s="327"/>
      <c r="AA9" s="327"/>
      <c r="AB9" s="327" t="s">
        <v>61</v>
      </c>
      <c r="AC9" s="327"/>
      <c r="AD9" s="327"/>
      <c r="AE9" s="327"/>
      <c r="AF9" s="327"/>
      <c r="AG9" s="338"/>
      <c r="AH9" s="338"/>
      <c r="AI9" s="339"/>
    </row>
    <row r="10" ht="36" customHeight="1" spans="1:35">
      <c r="A10" s="327" t="s">
        <v>62</v>
      </c>
      <c r="B10" s="327"/>
      <c r="C10" s="327"/>
      <c r="D10" s="327"/>
      <c r="E10" s="327"/>
      <c r="F10" s="327"/>
      <c r="G10" s="327"/>
      <c r="H10" s="327" t="s">
        <v>63</v>
      </c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 t="s">
        <v>64</v>
      </c>
      <c r="T10" s="327"/>
      <c r="U10" s="327"/>
      <c r="V10" s="327"/>
      <c r="W10" s="327"/>
      <c r="X10" s="327"/>
      <c r="Y10" s="327"/>
      <c r="Z10" s="327"/>
      <c r="AA10" s="327"/>
      <c r="AB10" s="327" t="s">
        <v>65</v>
      </c>
      <c r="AC10" s="327"/>
      <c r="AD10" s="327"/>
      <c r="AE10" s="327"/>
      <c r="AF10" s="327"/>
      <c r="AG10" s="338"/>
      <c r="AH10" s="338"/>
      <c r="AI10" s="339"/>
    </row>
    <row r="11" ht="36" customHeight="1" spans="1:35">
      <c r="A11" s="326" t="s">
        <v>66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</row>
    <row r="12" ht="36" customHeight="1" spans="1:35">
      <c r="A12" s="332" t="s">
        <v>67</v>
      </c>
      <c r="B12" s="332" t="s">
        <v>68</v>
      </c>
      <c r="C12" s="332" t="s">
        <v>69</v>
      </c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 t="s">
        <v>70</v>
      </c>
      <c r="R12" s="332"/>
      <c r="S12" s="332"/>
      <c r="T12" s="332"/>
      <c r="U12" s="332"/>
      <c r="V12" s="332"/>
      <c r="W12" s="332"/>
      <c r="X12" s="332"/>
      <c r="Y12" s="332"/>
      <c r="Z12" s="332"/>
      <c r="AA12" s="332" t="s">
        <v>71</v>
      </c>
      <c r="AB12" s="332"/>
      <c r="AC12" s="332"/>
      <c r="AD12" s="332"/>
      <c r="AE12" s="332"/>
      <c r="AF12" s="332"/>
      <c r="AG12" s="332"/>
      <c r="AH12" s="332"/>
      <c r="AI12" s="332"/>
    </row>
    <row r="13" ht="36" customHeight="1" spans="1:35">
      <c r="A13" s="327">
        <v>1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</row>
    <row r="14" ht="36" customHeight="1" spans="1:35">
      <c r="A14" s="326" t="s">
        <v>72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</row>
    <row r="15" ht="36" customHeight="1" spans="1:35">
      <c r="A15" s="332" t="s">
        <v>67</v>
      </c>
      <c r="B15" s="332" t="s">
        <v>73</v>
      </c>
      <c r="C15" s="332" t="s">
        <v>74</v>
      </c>
      <c r="D15" s="332"/>
      <c r="E15" s="332"/>
      <c r="F15" s="332"/>
      <c r="G15" s="332"/>
      <c r="H15" s="332" t="s">
        <v>75</v>
      </c>
      <c r="I15" s="332"/>
      <c r="J15" s="332"/>
      <c r="K15" s="332"/>
      <c r="L15" s="332"/>
      <c r="M15" s="332"/>
      <c r="N15" s="332"/>
      <c r="O15" s="332" t="s">
        <v>76</v>
      </c>
      <c r="P15" s="332"/>
      <c r="Q15" s="332"/>
      <c r="R15" s="332"/>
      <c r="S15" s="332"/>
      <c r="T15" s="332"/>
      <c r="U15" s="332"/>
      <c r="V15" s="332"/>
      <c r="W15" s="332"/>
      <c r="X15" s="332" t="s">
        <v>77</v>
      </c>
      <c r="Y15" s="332"/>
      <c r="Z15" s="332"/>
      <c r="AA15" s="332" t="s">
        <v>78</v>
      </c>
      <c r="AB15" s="332"/>
      <c r="AC15" s="332"/>
      <c r="AD15" s="332"/>
      <c r="AE15" s="332" t="s">
        <v>79</v>
      </c>
      <c r="AF15" s="332"/>
      <c r="AG15" s="332" t="s">
        <v>80</v>
      </c>
      <c r="AH15" s="332"/>
      <c r="AI15" s="332"/>
    </row>
    <row r="16" ht="36" customHeight="1" spans="1:35">
      <c r="A16" s="327">
        <v>1</v>
      </c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40"/>
      <c r="AH16" s="327"/>
      <c r="AI16" s="327"/>
    </row>
    <row r="17" ht="36" customHeight="1" spans="1:35">
      <c r="A17" s="326" t="s">
        <v>81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</row>
    <row r="18" ht="37.5" spans="1:35">
      <c r="A18" s="332" t="s">
        <v>67</v>
      </c>
      <c r="B18" s="332" t="s">
        <v>82</v>
      </c>
      <c r="C18" s="332" t="s">
        <v>83</v>
      </c>
      <c r="D18" s="332"/>
      <c r="E18" s="332"/>
      <c r="F18" s="332"/>
      <c r="G18" s="332"/>
      <c r="H18" s="332" t="s">
        <v>84</v>
      </c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 t="s">
        <v>77</v>
      </c>
      <c r="T18" s="332"/>
      <c r="U18" s="332"/>
      <c r="V18" s="332" t="s">
        <v>85</v>
      </c>
      <c r="W18" s="332"/>
      <c r="X18" s="332"/>
      <c r="Y18" s="332"/>
      <c r="Z18" s="332"/>
      <c r="AA18" s="332" t="s">
        <v>86</v>
      </c>
      <c r="AB18" s="332"/>
      <c r="AC18" s="332"/>
      <c r="AD18" s="332"/>
      <c r="AE18" s="332"/>
      <c r="AF18" s="332"/>
      <c r="AG18" s="332" t="s">
        <v>80</v>
      </c>
      <c r="AH18" s="332"/>
      <c r="AI18" s="332"/>
    </row>
    <row r="19" ht="36" customHeight="1" spans="1:35">
      <c r="A19" s="327">
        <v>1</v>
      </c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40"/>
      <c r="AH19" s="327"/>
      <c r="AI19" s="327"/>
    </row>
    <row r="20" ht="36" customHeight="1" spans="1:35">
      <c r="A20" s="326" t="s">
        <v>87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</row>
    <row r="21" ht="42.95" customHeight="1" spans="1:35">
      <c r="A21" s="332" t="s">
        <v>67</v>
      </c>
      <c r="B21" s="332" t="s">
        <v>88</v>
      </c>
      <c r="C21" s="332" t="s">
        <v>89</v>
      </c>
      <c r="D21" s="332"/>
      <c r="E21" s="332"/>
      <c r="F21" s="332"/>
      <c r="G21" s="332"/>
      <c r="H21" s="332" t="s">
        <v>90</v>
      </c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 t="s">
        <v>86</v>
      </c>
      <c r="T21" s="332"/>
      <c r="U21" s="332"/>
      <c r="V21" s="332"/>
      <c r="W21" s="332"/>
      <c r="X21" s="332"/>
      <c r="Y21" s="332"/>
      <c r="Z21" s="332"/>
      <c r="AA21" s="332" t="s">
        <v>91</v>
      </c>
      <c r="AB21" s="332"/>
      <c r="AC21" s="332"/>
      <c r="AD21" s="332"/>
      <c r="AE21" s="332"/>
      <c r="AF21" s="332"/>
      <c r="AG21" s="332"/>
      <c r="AH21" s="332"/>
      <c r="AI21" s="332"/>
    </row>
    <row r="22" ht="36" customHeight="1" spans="1:35">
      <c r="A22" s="327">
        <v>1</v>
      </c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</row>
    <row r="23" ht="36" customHeight="1" spans="1:35">
      <c r="A23" s="326" t="s">
        <v>92</v>
      </c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</row>
    <row r="24" ht="37.5" spans="1:35">
      <c r="A24" s="332" t="s">
        <v>67</v>
      </c>
      <c r="B24" s="332" t="s">
        <v>93</v>
      </c>
      <c r="C24" s="332" t="s">
        <v>94</v>
      </c>
      <c r="D24" s="332"/>
      <c r="E24" s="332"/>
      <c r="F24" s="332"/>
      <c r="G24" s="332" t="s">
        <v>95</v>
      </c>
      <c r="H24" s="332" t="s">
        <v>86</v>
      </c>
      <c r="I24" s="332"/>
      <c r="J24" s="332"/>
      <c r="K24" s="332"/>
      <c r="L24" s="332"/>
      <c r="M24" s="332"/>
      <c r="N24" s="332"/>
      <c r="O24" s="332" t="s">
        <v>96</v>
      </c>
      <c r="P24" s="332"/>
      <c r="Q24" s="332"/>
      <c r="R24" s="332"/>
      <c r="S24" s="332" t="s">
        <v>97</v>
      </c>
      <c r="T24" s="332"/>
      <c r="U24" s="332"/>
      <c r="V24" s="332"/>
      <c r="W24" s="332"/>
      <c r="X24" s="332" t="s">
        <v>98</v>
      </c>
      <c r="Y24" s="332"/>
      <c r="Z24" s="332"/>
      <c r="AA24" s="332"/>
      <c r="AB24" s="332"/>
      <c r="AC24" s="332" t="s">
        <v>99</v>
      </c>
      <c r="AD24" s="332"/>
      <c r="AE24" s="332"/>
      <c r="AF24" s="332"/>
      <c r="AG24" s="332" t="s">
        <v>80</v>
      </c>
      <c r="AH24" s="332"/>
      <c r="AI24" s="332"/>
    </row>
    <row r="25" ht="36" customHeight="1" spans="1:35">
      <c r="A25" s="327">
        <v>1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</row>
    <row r="26" ht="36" customHeight="1" spans="1:35">
      <c r="A26" s="326" t="s">
        <v>100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</row>
    <row r="27" ht="36" customHeight="1" spans="1:35">
      <c r="A27" s="327" t="s">
        <v>67</v>
      </c>
      <c r="B27" s="327" t="s">
        <v>101</v>
      </c>
      <c r="C27" s="327" t="s">
        <v>69</v>
      </c>
      <c r="D27" s="327"/>
      <c r="E27" s="327"/>
      <c r="F27" s="327" t="s">
        <v>102</v>
      </c>
      <c r="G27" s="327" t="s">
        <v>103</v>
      </c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 t="s">
        <v>104</v>
      </c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 t="s">
        <v>91</v>
      </c>
      <c r="AH27" s="327"/>
      <c r="AI27" s="327"/>
    </row>
    <row r="28" ht="36" customHeight="1" spans="1:35">
      <c r="A28" s="327"/>
      <c r="B28" s="327"/>
      <c r="C28" s="327"/>
      <c r="D28" s="327"/>
      <c r="E28" s="327"/>
      <c r="F28" s="327"/>
      <c r="G28" s="327" t="s">
        <v>105</v>
      </c>
      <c r="H28" s="327"/>
      <c r="I28" s="327" t="s">
        <v>106</v>
      </c>
      <c r="J28" s="327" t="s">
        <v>107</v>
      </c>
      <c r="K28" s="327" t="s">
        <v>108</v>
      </c>
      <c r="L28" s="327"/>
      <c r="M28" s="327" t="s">
        <v>109</v>
      </c>
      <c r="N28" s="327"/>
      <c r="O28" s="327"/>
      <c r="P28" s="327" t="s">
        <v>110</v>
      </c>
      <c r="Q28" s="327"/>
      <c r="R28" s="327" t="s">
        <v>105</v>
      </c>
      <c r="S28" s="327"/>
      <c r="T28" s="327" t="s">
        <v>106</v>
      </c>
      <c r="U28" s="327"/>
      <c r="V28" s="327"/>
      <c r="W28" s="327"/>
      <c r="X28" s="327" t="s">
        <v>107</v>
      </c>
      <c r="Y28" s="327"/>
      <c r="Z28" s="327" t="s">
        <v>108</v>
      </c>
      <c r="AA28" s="327"/>
      <c r="AB28" s="327"/>
      <c r="AC28" s="327" t="s">
        <v>109</v>
      </c>
      <c r="AD28" s="327"/>
      <c r="AE28" s="327"/>
      <c r="AF28" s="327" t="s">
        <v>110</v>
      </c>
      <c r="AG28" s="327"/>
      <c r="AH28" s="327"/>
      <c r="AI28" s="327"/>
    </row>
    <row r="29" ht="36" customHeight="1" spans="1:35">
      <c r="A29" s="327">
        <v>1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</row>
    <row r="30" ht="36" customHeight="1" spans="1:35">
      <c r="A30" s="326" t="s">
        <v>111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</row>
    <row r="31" ht="36" customHeight="1" spans="1:35">
      <c r="A31" s="327" t="s">
        <v>67</v>
      </c>
      <c r="B31" s="327" t="s">
        <v>112</v>
      </c>
      <c r="C31" s="327" t="s">
        <v>69</v>
      </c>
      <c r="D31" s="327"/>
      <c r="E31" s="327"/>
      <c r="F31" s="327"/>
      <c r="G31" s="327"/>
      <c r="H31" s="327" t="s">
        <v>113</v>
      </c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 t="s">
        <v>80</v>
      </c>
      <c r="AB31" s="327"/>
      <c r="AC31" s="327"/>
      <c r="AD31" s="327"/>
      <c r="AE31" s="327"/>
      <c r="AF31" s="327"/>
      <c r="AG31" s="327"/>
      <c r="AH31" s="327"/>
      <c r="AI31" s="327"/>
    </row>
    <row r="32" ht="36" customHeight="1" spans="1:35">
      <c r="A32" s="327"/>
      <c r="B32" s="327"/>
      <c r="C32" s="327"/>
      <c r="D32" s="327"/>
      <c r="E32" s="327"/>
      <c r="F32" s="327"/>
      <c r="G32" s="327"/>
      <c r="H32" s="327" t="s">
        <v>105</v>
      </c>
      <c r="I32" s="327"/>
      <c r="J32" s="327"/>
      <c r="K32" s="327"/>
      <c r="L32" s="327"/>
      <c r="M32" s="327" t="s">
        <v>106</v>
      </c>
      <c r="N32" s="327"/>
      <c r="O32" s="327"/>
      <c r="P32" s="327"/>
      <c r="Q32" s="327" t="s">
        <v>107</v>
      </c>
      <c r="R32" s="327"/>
      <c r="S32" s="327"/>
      <c r="T32" s="327"/>
      <c r="U32" s="327" t="s">
        <v>108</v>
      </c>
      <c r="V32" s="327"/>
      <c r="W32" s="327" t="s">
        <v>109</v>
      </c>
      <c r="X32" s="327"/>
      <c r="Y32" s="327" t="s">
        <v>110</v>
      </c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</row>
    <row r="33" ht="36" customHeight="1" spans="1:35">
      <c r="A33" s="327">
        <v>1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</row>
    <row r="34" ht="36" customHeight="1" spans="1:35">
      <c r="A34" s="326" t="s">
        <v>114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</row>
    <row r="35" ht="36" customHeight="1" spans="1:35">
      <c r="A35" s="327" t="s">
        <v>67</v>
      </c>
      <c r="B35" s="327" t="s">
        <v>115</v>
      </c>
      <c r="C35" s="327"/>
      <c r="D35" s="327"/>
      <c r="E35" s="327"/>
      <c r="F35" s="327"/>
      <c r="G35" s="327"/>
      <c r="H35" s="327" t="s">
        <v>116</v>
      </c>
      <c r="I35" s="327"/>
      <c r="J35" s="327"/>
      <c r="K35" s="327"/>
      <c r="L35" s="327"/>
      <c r="M35" s="327"/>
      <c r="N35" s="327" t="s">
        <v>117</v>
      </c>
      <c r="O35" s="327"/>
      <c r="P35" s="327"/>
      <c r="Q35" s="327"/>
      <c r="R35" s="327"/>
      <c r="S35" s="327"/>
      <c r="T35" s="327"/>
      <c r="U35" s="327" t="s">
        <v>118</v>
      </c>
      <c r="V35" s="327"/>
      <c r="W35" s="327"/>
      <c r="X35" s="327"/>
      <c r="Y35" s="327"/>
      <c r="Z35" s="327"/>
      <c r="AA35" s="327" t="s">
        <v>119</v>
      </c>
      <c r="AB35" s="327"/>
      <c r="AC35" s="327"/>
      <c r="AD35" s="327"/>
      <c r="AE35" s="327"/>
      <c r="AF35" s="327"/>
      <c r="AG35" s="327"/>
      <c r="AH35" s="327"/>
      <c r="AI35" s="327"/>
    </row>
    <row r="36" ht="36" customHeight="1" spans="1:35">
      <c r="A36" s="327">
        <v>1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</row>
  </sheetData>
  <mergeCells count="160">
    <mergeCell ref="A1:AI1"/>
    <mergeCell ref="A2:AI2"/>
    <mergeCell ref="A3:B3"/>
    <mergeCell ref="C3:F3"/>
    <mergeCell ref="I3:Y3"/>
    <mergeCell ref="Z3:AB3"/>
    <mergeCell ref="AC3:AI3"/>
    <mergeCell ref="A4:Y4"/>
    <mergeCell ref="Z4:AI4"/>
    <mergeCell ref="A5:AI5"/>
    <mergeCell ref="A6:C6"/>
    <mergeCell ref="D6:G6"/>
    <mergeCell ref="H6:R6"/>
    <mergeCell ref="S6:W6"/>
    <mergeCell ref="X6:AF6"/>
    <mergeCell ref="AG6:AI6"/>
    <mergeCell ref="A7:C7"/>
    <mergeCell ref="D7:W7"/>
    <mergeCell ref="X7:AF7"/>
    <mergeCell ref="AG7:AI7"/>
    <mergeCell ref="A8:C8"/>
    <mergeCell ref="D8:G8"/>
    <mergeCell ref="H8:R8"/>
    <mergeCell ref="S8:W8"/>
    <mergeCell ref="X8:AF8"/>
    <mergeCell ref="AG8:AI8"/>
    <mergeCell ref="A9:C9"/>
    <mergeCell ref="D9:G9"/>
    <mergeCell ref="H9:K9"/>
    <mergeCell ref="L9:R9"/>
    <mergeCell ref="S9:W9"/>
    <mergeCell ref="X9:AA9"/>
    <mergeCell ref="AB9:AF9"/>
    <mergeCell ref="AG9:AI9"/>
    <mergeCell ref="A10:C10"/>
    <mergeCell ref="D10:G10"/>
    <mergeCell ref="H10:K10"/>
    <mergeCell ref="L10:R10"/>
    <mergeCell ref="S10:W10"/>
    <mergeCell ref="X10:AA10"/>
    <mergeCell ref="AB10:AF10"/>
    <mergeCell ref="AG10:AI10"/>
    <mergeCell ref="A11:AI11"/>
    <mergeCell ref="C12:P12"/>
    <mergeCell ref="Q12:Z12"/>
    <mergeCell ref="AA12:AI12"/>
    <mergeCell ref="C13:P13"/>
    <mergeCell ref="Q13:Z13"/>
    <mergeCell ref="AA13:AI13"/>
    <mergeCell ref="A14:AI14"/>
    <mergeCell ref="C15:G15"/>
    <mergeCell ref="H15:N15"/>
    <mergeCell ref="O15:W15"/>
    <mergeCell ref="X15:Z15"/>
    <mergeCell ref="AA15:AD15"/>
    <mergeCell ref="AE15:AF15"/>
    <mergeCell ref="AG15:AI15"/>
    <mergeCell ref="C16:G16"/>
    <mergeCell ref="H16:N16"/>
    <mergeCell ref="O16:W16"/>
    <mergeCell ref="X16:Z16"/>
    <mergeCell ref="AA16:AD16"/>
    <mergeCell ref="AE16:AF16"/>
    <mergeCell ref="AG16:AI16"/>
    <mergeCell ref="A17:AI17"/>
    <mergeCell ref="C18:G18"/>
    <mergeCell ref="H18:R18"/>
    <mergeCell ref="S18:U18"/>
    <mergeCell ref="V18:Z18"/>
    <mergeCell ref="AA18:AF18"/>
    <mergeCell ref="AG18:AI18"/>
    <mergeCell ref="C19:G19"/>
    <mergeCell ref="H19:R19"/>
    <mergeCell ref="S19:U19"/>
    <mergeCell ref="V19:Z19"/>
    <mergeCell ref="AA19:AF19"/>
    <mergeCell ref="AG19:AI19"/>
    <mergeCell ref="A20:AI20"/>
    <mergeCell ref="C21:G21"/>
    <mergeCell ref="H21:R21"/>
    <mergeCell ref="S21:Z21"/>
    <mergeCell ref="AA21:AI21"/>
    <mergeCell ref="C22:G22"/>
    <mergeCell ref="H22:R22"/>
    <mergeCell ref="S22:Z22"/>
    <mergeCell ref="AA22:AI22"/>
    <mergeCell ref="A23:AI23"/>
    <mergeCell ref="C24:F24"/>
    <mergeCell ref="H24:N24"/>
    <mergeCell ref="O24:R24"/>
    <mergeCell ref="S24:W24"/>
    <mergeCell ref="X24:AB24"/>
    <mergeCell ref="AC24:AF24"/>
    <mergeCell ref="AG24:AI24"/>
    <mergeCell ref="C25:F25"/>
    <mergeCell ref="H25:N25"/>
    <mergeCell ref="O25:R25"/>
    <mergeCell ref="S25:W25"/>
    <mergeCell ref="X25:AB25"/>
    <mergeCell ref="AC25:AF25"/>
    <mergeCell ref="AG25:AI25"/>
    <mergeCell ref="A26:AI26"/>
    <mergeCell ref="G27:Q27"/>
    <mergeCell ref="R27:AF27"/>
    <mergeCell ref="G28:H28"/>
    <mergeCell ref="K28:L28"/>
    <mergeCell ref="M28:O28"/>
    <mergeCell ref="P28:Q28"/>
    <mergeCell ref="R28:S28"/>
    <mergeCell ref="T28:W28"/>
    <mergeCell ref="X28:Y28"/>
    <mergeCell ref="Z28:AB28"/>
    <mergeCell ref="AC28:AE28"/>
    <mergeCell ref="C29:E29"/>
    <mergeCell ref="G29:H29"/>
    <mergeCell ref="K29:L29"/>
    <mergeCell ref="M29:O29"/>
    <mergeCell ref="P29:Q29"/>
    <mergeCell ref="R29:S29"/>
    <mergeCell ref="T29:W29"/>
    <mergeCell ref="X29:Y29"/>
    <mergeCell ref="Z29:AB29"/>
    <mergeCell ref="AC29:AE29"/>
    <mergeCell ref="AG29:AI29"/>
    <mergeCell ref="A30:AI30"/>
    <mergeCell ref="H31:Z31"/>
    <mergeCell ref="H32:L32"/>
    <mergeCell ref="M32:P32"/>
    <mergeCell ref="Q32:T32"/>
    <mergeCell ref="U32:V32"/>
    <mergeCell ref="W32:X32"/>
    <mergeCell ref="Y32:Z32"/>
    <mergeCell ref="C33:G33"/>
    <mergeCell ref="H33:L33"/>
    <mergeCell ref="M33:P33"/>
    <mergeCell ref="Q33:T33"/>
    <mergeCell ref="U33:V33"/>
    <mergeCell ref="W33:X33"/>
    <mergeCell ref="Y33:Z33"/>
    <mergeCell ref="AA33:AI33"/>
    <mergeCell ref="A34:AI34"/>
    <mergeCell ref="B35:G35"/>
    <mergeCell ref="H35:M35"/>
    <mergeCell ref="N35:T35"/>
    <mergeCell ref="U35:Z35"/>
    <mergeCell ref="AA35:AI35"/>
    <mergeCell ref="B36:G36"/>
    <mergeCell ref="H36:M36"/>
    <mergeCell ref="N36:T36"/>
    <mergeCell ref="U36:Z36"/>
    <mergeCell ref="AA36:AI36"/>
    <mergeCell ref="A27:A28"/>
    <mergeCell ref="A31:A32"/>
    <mergeCell ref="B27:B28"/>
    <mergeCell ref="B31:B32"/>
    <mergeCell ref="F27:F28"/>
    <mergeCell ref="AA31:AI32"/>
    <mergeCell ref="C31:G32"/>
    <mergeCell ref="C27:E28"/>
    <mergeCell ref="AG27:AI28"/>
  </mergeCells>
  <dataValidations count="1">
    <dataValidation type="list" allowBlank="1" showInputMessage="1" showErrorMessage="1" sqref="AG6:AI6">
      <formula1>"是,否"</formula1>
    </dataValidation>
  </dataValidations>
  <printOptions horizontalCentered="1"/>
  <pageMargins left="0.707638888888889" right="0.707638888888889" top="0.747916666666667" bottom="0.747916666666667" header="0.432638888888889" footer="0.313888888888889"/>
  <pageSetup paperSize="9" scale="36" fitToWidth="0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48"/>
  <sheetViews>
    <sheetView zoomScale="63" zoomScaleNormal="63" topLeftCell="A13" workbookViewId="0">
      <selection activeCell="A13" sqref="$A1:$XFD1048576"/>
    </sheetView>
  </sheetViews>
  <sheetFormatPr defaultColWidth="8.875" defaultRowHeight="14.25"/>
  <cols>
    <col min="1" max="1" width="37.5" style="290" customWidth="1"/>
    <col min="2" max="2" width="20.875" style="290" customWidth="1"/>
    <col min="3" max="3" width="22.5" style="187" customWidth="1"/>
    <col min="4" max="5" width="15.5" style="187" customWidth="1"/>
    <col min="6" max="6" width="21.875" style="187" customWidth="1"/>
    <col min="7" max="8" width="15.5" style="187" customWidth="1"/>
    <col min="9" max="9" width="22.125" style="187" customWidth="1"/>
    <col min="10" max="10" width="15.5" style="187" customWidth="1"/>
    <col min="11" max="11" width="14" style="187"/>
    <col min="12" max="12" width="8.625" style="187"/>
    <col min="13" max="28" width="9" style="187"/>
    <col min="29" max="251" width="8.875" style="187"/>
    <col min="252" max="16384" width="8.875" style="140"/>
  </cols>
  <sheetData>
    <row r="1" s="187" customFormat="1" ht="27" spans="1:12">
      <c r="A1" s="291" t="str">
        <f>目录!A4&amp;目录!B4</f>
        <v>T20000土地增值税税源明细表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ht="34.5" customHeight="1" spans="1:251">
      <c r="A2" s="292" t="s">
        <v>1</v>
      </c>
      <c r="B2" s="292" t="s">
        <v>2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</row>
    <row r="3" ht="34.5" customHeight="1" spans="1:251">
      <c r="A3" s="292" t="s">
        <v>120</v>
      </c>
      <c r="B3" s="292" t="str">
        <f>IF(清算项目基本情况表!C3="","",清算项目基本情况表!C3)</f>
        <v/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</row>
    <row r="4" ht="34.5" customHeight="1" spans="1:251">
      <c r="A4" s="293" t="s">
        <v>121</v>
      </c>
      <c r="B4" s="294" t="str">
        <f>IF(清算项目基本情况表!I3="","",清算项目基本情况表!I3)</f>
        <v/>
      </c>
      <c r="C4" s="294"/>
      <c r="D4" s="294"/>
      <c r="E4" s="294"/>
      <c r="F4" s="294"/>
      <c r="G4" s="294" t="s">
        <v>47</v>
      </c>
      <c r="H4" s="294"/>
      <c r="I4" s="294"/>
      <c r="J4" s="294"/>
      <c r="K4" s="294" t="s">
        <v>48</v>
      </c>
      <c r="L4" s="294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</row>
    <row r="5" s="287" customFormat="1" ht="34.5" customHeight="1" spans="1:251">
      <c r="A5" s="295" t="s">
        <v>69</v>
      </c>
      <c r="B5" s="296" t="str">
        <f>IF(清算项目基本情况表!D6="","",清算项目基本情况表!D6)</f>
        <v/>
      </c>
      <c r="C5" s="296"/>
      <c r="D5" s="296"/>
      <c r="E5" s="296"/>
      <c r="F5" s="297" t="s">
        <v>122</v>
      </c>
      <c r="G5" s="297"/>
      <c r="H5" s="297" t="str">
        <f>IF(清算项目基本情况表!S6="","",清算项目基本情况表!S6)</f>
        <v/>
      </c>
      <c r="I5" s="297"/>
      <c r="J5" s="297"/>
      <c r="K5" s="297"/>
      <c r="L5" s="297"/>
      <c r="M5" s="311"/>
      <c r="N5" s="311"/>
      <c r="O5" s="311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2"/>
      <c r="BQ5" s="312"/>
      <c r="BR5" s="312"/>
      <c r="BS5" s="312"/>
      <c r="BT5" s="312"/>
      <c r="BU5" s="312"/>
      <c r="BV5" s="312"/>
      <c r="BW5" s="312"/>
      <c r="BX5" s="312"/>
      <c r="BY5" s="312"/>
      <c r="BZ5" s="312"/>
      <c r="CA5" s="312"/>
      <c r="CB5" s="312"/>
      <c r="CC5" s="312"/>
      <c r="CD5" s="312"/>
      <c r="CE5" s="312"/>
      <c r="CF5" s="312"/>
      <c r="CG5" s="312"/>
      <c r="CH5" s="312"/>
      <c r="CI5" s="312"/>
      <c r="CJ5" s="312"/>
      <c r="CK5" s="312"/>
      <c r="CL5" s="312"/>
      <c r="CM5" s="312"/>
      <c r="CN5" s="312"/>
      <c r="CO5" s="312"/>
      <c r="CP5" s="312"/>
      <c r="CQ5" s="312"/>
      <c r="CR5" s="312"/>
      <c r="CS5" s="312"/>
      <c r="CT5" s="312"/>
      <c r="CU5" s="312"/>
      <c r="CV5" s="312"/>
      <c r="CW5" s="312"/>
      <c r="CX5" s="312"/>
      <c r="CY5" s="312"/>
      <c r="CZ5" s="312"/>
      <c r="DA5" s="312"/>
      <c r="DB5" s="312"/>
      <c r="DC5" s="312"/>
      <c r="DD5" s="312"/>
      <c r="DE5" s="312"/>
      <c r="DF5" s="312"/>
      <c r="DG5" s="312"/>
      <c r="DH5" s="312"/>
      <c r="DI5" s="312"/>
      <c r="DJ5" s="312"/>
      <c r="DK5" s="312"/>
      <c r="DL5" s="312"/>
      <c r="DM5" s="312"/>
      <c r="DN5" s="312"/>
      <c r="DO5" s="312"/>
      <c r="DP5" s="312"/>
      <c r="DQ5" s="312"/>
      <c r="DR5" s="312"/>
      <c r="DS5" s="312"/>
      <c r="DT5" s="312"/>
      <c r="DU5" s="312"/>
      <c r="DV5" s="312"/>
      <c r="DW5" s="312"/>
      <c r="DX5" s="312"/>
      <c r="DY5" s="312"/>
      <c r="DZ5" s="312"/>
      <c r="EA5" s="312"/>
      <c r="EB5" s="312"/>
      <c r="EC5" s="312"/>
      <c r="ED5" s="312"/>
      <c r="EE5" s="312"/>
      <c r="EF5" s="312"/>
      <c r="EG5" s="312"/>
      <c r="EH5" s="312"/>
      <c r="EI5" s="312"/>
      <c r="EJ5" s="312"/>
      <c r="EK5" s="312"/>
      <c r="EL5" s="312"/>
      <c r="EM5" s="312"/>
      <c r="EN5" s="312"/>
      <c r="EO5" s="312"/>
      <c r="EP5" s="312"/>
      <c r="EQ5" s="312"/>
      <c r="ER5" s="312"/>
      <c r="ES5" s="312"/>
      <c r="ET5" s="312"/>
      <c r="EU5" s="312"/>
      <c r="EV5" s="312"/>
      <c r="EW5" s="312"/>
      <c r="EX5" s="312"/>
      <c r="EY5" s="312"/>
      <c r="EZ5" s="312"/>
      <c r="FA5" s="312"/>
      <c r="FB5" s="312"/>
      <c r="FC5" s="312"/>
      <c r="FD5" s="312"/>
      <c r="FE5" s="312"/>
      <c r="FF5" s="312"/>
      <c r="FG5" s="312"/>
      <c r="FH5" s="312"/>
      <c r="FI5" s="312"/>
      <c r="FJ5" s="312"/>
      <c r="FK5" s="312"/>
      <c r="FL5" s="312"/>
      <c r="FM5" s="312"/>
      <c r="FN5" s="312"/>
      <c r="FO5" s="312"/>
      <c r="FP5" s="312"/>
      <c r="FQ5" s="312"/>
      <c r="FR5" s="312"/>
      <c r="FS5" s="312"/>
      <c r="FT5" s="312"/>
      <c r="FU5" s="312"/>
      <c r="FV5" s="312"/>
      <c r="FW5" s="312"/>
      <c r="FX5" s="312"/>
      <c r="FY5" s="312"/>
      <c r="FZ5" s="312"/>
      <c r="GA5" s="312"/>
      <c r="GB5" s="312"/>
      <c r="GC5" s="312"/>
      <c r="GD5" s="312"/>
      <c r="GE5" s="312"/>
      <c r="GF5" s="312"/>
      <c r="GG5" s="312"/>
      <c r="GH5" s="312"/>
      <c r="GI5" s="312"/>
      <c r="GJ5" s="312"/>
      <c r="GK5" s="312"/>
      <c r="GL5" s="312"/>
      <c r="GM5" s="312"/>
      <c r="GN5" s="312"/>
      <c r="GO5" s="312"/>
      <c r="GP5" s="312"/>
      <c r="GQ5" s="312"/>
      <c r="GR5" s="312"/>
      <c r="GS5" s="312"/>
      <c r="GT5" s="312"/>
      <c r="GU5" s="312"/>
      <c r="GV5" s="312"/>
      <c r="GW5" s="312"/>
      <c r="GX5" s="312"/>
      <c r="GY5" s="312"/>
      <c r="GZ5" s="312"/>
      <c r="HA5" s="312"/>
      <c r="HB5" s="312"/>
      <c r="HC5" s="312"/>
      <c r="HD5" s="312"/>
      <c r="HE5" s="312"/>
      <c r="HF5" s="312"/>
      <c r="HG5" s="312"/>
      <c r="HH5" s="312"/>
      <c r="HI5" s="312"/>
      <c r="HJ5" s="312"/>
      <c r="HK5" s="312"/>
      <c r="HL5" s="312"/>
      <c r="HM5" s="312"/>
      <c r="HN5" s="312"/>
      <c r="HO5" s="312"/>
      <c r="HP5" s="312"/>
      <c r="HQ5" s="312"/>
      <c r="HR5" s="312"/>
      <c r="HS5" s="312"/>
      <c r="HT5" s="312"/>
      <c r="HU5" s="312"/>
      <c r="HV5" s="312"/>
      <c r="HW5" s="312"/>
      <c r="HX5" s="312"/>
      <c r="HY5" s="312"/>
      <c r="HZ5" s="312"/>
      <c r="IA5" s="312"/>
      <c r="IB5" s="312"/>
      <c r="IC5" s="312"/>
      <c r="ID5" s="312"/>
      <c r="IE5" s="312"/>
      <c r="IF5" s="312"/>
      <c r="IG5" s="312"/>
      <c r="IH5" s="312"/>
      <c r="II5" s="312"/>
      <c r="IJ5" s="312"/>
      <c r="IK5" s="312"/>
      <c r="IL5" s="312"/>
      <c r="IM5" s="312"/>
      <c r="IN5" s="312"/>
      <c r="IO5" s="312"/>
      <c r="IP5" s="312"/>
      <c r="IQ5" s="312"/>
    </row>
    <row r="6" s="287" customFormat="1" ht="34.5" customHeight="1" spans="1:251">
      <c r="A6" s="295" t="s">
        <v>123</v>
      </c>
      <c r="B6" s="296">
        <f>清算项目基本情况表!D7</f>
        <v>0</v>
      </c>
      <c r="C6" s="296"/>
      <c r="D6" s="296"/>
      <c r="E6" s="296"/>
      <c r="F6" s="296" t="s">
        <v>124</v>
      </c>
      <c r="G6" s="296"/>
      <c r="H6" s="298" t="s">
        <v>125</v>
      </c>
      <c r="I6" s="298"/>
      <c r="J6" s="298"/>
      <c r="K6" s="298"/>
      <c r="L6" s="298"/>
      <c r="M6" s="311"/>
      <c r="N6" s="311"/>
      <c r="O6" s="311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2"/>
      <c r="CI6" s="312"/>
      <c r="CJ6" s="312"/>
      <c r="CK6" s="312"/>
      <c r="CL6" s="312"/>
      <c r="CM6" s="312"/>
      <c r="CN6" s="312"/>
      <c r="CO6" s="312"/>
      <c r="CP6" s="312"/>
      <c r="CQ6" s="312"/>
      <c r="CR6" s="312"/>
      <c r="CS6" s="312"/>
      <c r="CT6" s="312"/>
      <c r="CU6" s="312"/>
      <c r="CV6" s="312"/>
      <c r="CW6" s="312"/>
      <c r="CX6" s="312"/>
      <c r="CY6" s="312"/>
      <c r="CZ6" s="312"/>
      <c r="DA6" s="312"/>
      <c r="DB6" s="312"/>
      <c r="DC6" s="312"/>
      <c r="DD6" s="312"/>
      <c r="DE6" s="312"/>
      <c r="DF6" s="312"/>
      <c r="DG6" s="312"/>
      <c r="DH6" s="312"/>
      <c r="DI6" s="312"/>
      <c r="DJ6" s="312"/>
      <c r="DK6" s="312"/>
      <c r="DL6" s="312"/>
      <c r="DM6" s="312"/>
      <c r="DN6" s="312"/>
      <c r="DO6" s="312"/>
      <c r="DP6" s="312"/>
      <c r="DQ6" s="312"/>
      <c r="DR6" s="312"/>
      <c r="DS6" s="312"/>
      <c r="DT6" s="312"/>
      <c r="DU6" s="312"/>
      <c r="DV6" s="312"/>
      <c r="DW6" s="312"/>
      <c r="DX6" s="312"/>
      <c r="DY6" s="312"/>
      <c r="DZ6" s="312"/>
      <c r="EA6" s="312"/>
      <c r="EB6" s="312"/>
      <c r="EC6" s="312"/>
      <c r="ED6" s="312"/>
      <c r="EE6" s="312"/>
      <c r="EF6" s="312"/>
      <c r="EG6" s="312"/>
      <c r="EH6" s="312"/>
      <c r="EI6" s="312"/>
      <c r="EJ6" s="312"/>
      <c r="EK6" s="312"/>
      <c r="EL6" s="312"/>
      <c r="EM6" s="312"/>
      <c r="EN6" s="312"/>
      <c r="EO6" s="312"/>
      <c r="EP6" s="312"/>
      <c r="EQ6" s="312"/>
      <c r="ER6" s="312"/>
      <c r="ES6" s="312"/>
      <c r="ET6" s="312"/>
      <c r="EU6" s="312"/>
      <c r="EV6" s="312"/>
      <c r="EW6" s="312"/>
      <c r="EX6" s="312"/>
      <c r="EY6" s="312"/>
      <c r="EZ6" s="312"/>
      <c r="FA6" s="312"/>
      <c r="FB6" s="312"/>
      <c r="FC6" s="312"/>
      <c r="FD6" s="312"/>
      <c r="FE6" s="312"/>
      <c r="FF6" s="312"/>
      <c r="FG6" s="312"/>
      <c r="FH6" s="312"/>
      <c r="FI6" s="312"/>
      <c r="FJ6" s="312"/>
      <c r="FK6" s="312"/>
      <c r="FL6" s="312"/>
      <c r="FM6" s="312"/>
      <c r="FN6" s="312"/>
      <c r="FO6" s="312"/>
      <c r="FP6" s="312"/>
      <c r="FQ6" s="312"/>
      <c r="FR6" s="312"/>
      <c r="FS6" s="312"/>
      <c r="FT6" s="312"/>
      <c r="FU6" s="312"/>
      <c r="FV6" s="312"/>
      <c r="FW6" s="312"/>
      <c r="FX6" s="312"/>
      <c r="FY6" s="312"/>
      <c r="FZ6" s="312"/>
      <c r="GA6" s="312"/>
      <c r="GB6" s="312"/>
      <c r="GC6" s="312"/>
      <c r="GD6" s="312"/>
      <c r="GE6" s="312"/>
      <c r="GF6" s="312"/>
      <c r="GG6" s="312"/>
      <c r="GH6" s="312"/>
      <c r="GI6" s="312"/>
      <c r="GJ6" s="312"/>
      <c r="GK6" s="312"/>
      <c r="GL6" s="312"/>
      <c r="GM6" s="312"/>
      <c r="GN6" s="312"/>
      <c r="GO6" s="312"/>
      <c r="GP6" s="312"/>
      <c r="GQ6" s="312"/>
      <c r="GR6" s="312"/>
      <c r="GS6" s="312"/>
      <c r="GT6" s="312"/>
      <c r="GU6" s="312"/>
      <c r="GV6" s="312"/>
      <c r="GW6" s="312"/>
      <c r="GX6" s="312"/>
      <c r="GY6" s="312"/>
      <c r="GZ6" s="312"/>
      <c r="HA6" s="312"/>
      <c r="HB6" s="312"/>
      <c r="HC6" s="312"/>
      <c r="HD6" s="312"/>
      <c r="HE6" s="312"/>
      <c r="HF6" s="312"/>
      <c r="HG6" s="312"/>
      <c r="HH6" s="312"/>
      <c r="HI6" s="312"/>
      <c r="HJ6" s="312"/>
      <c r="HK6" s="312"/>
      <c r="HL6" s="312"/>
      <c r="HM6" s="312"/>
      <c r="HN6" s="312"/>
      <c r="HO6" s="312"/>
      <c r="HP6" s="312"/>
      <c r="HQ6" s="312"/>
      <c r="HR6" s="312"/>
      <c r="HS6" s="312"/>
      <c r="HT6" s="312"/>
      <c r="HU6" s="312"/>
      <c r="HV6" s="312"/>
      <c r="HW6" s="312"/>
      <c r="HX6" s="312"/>
      <c r="HY6" s="312"/>
      <c r="HZ6" s="312"/>
      <c r="IA6" s="312"/>
      <c r="IB6" s="312"/>
      <c r="IC6" s="312"/>
      <c r="ID6" s="312"/>
      <c r="IE6" s="312"/>
      <c r="IF6" s="312"/>
      <c r="IG6" s="312"/>
      <c r="IH6" s="312"/>
      <c r="II6" s="312"/>
      <c r="IJ6" s="312"/>
      <c r="IK6" s="312"/>
      <c r="IL6" s="312"/>
      <c r="IM6" s="312"/>
      <c r="IN6" s="312"/>
      <c r="IO6" s="312"/>
      <c r="IP6" s="312"/>
      <c r="IQ6" s="312"/>
    </row>
    <row r="7" s="287" customFormat="1" ht="34.5" customHeight="1" spans="1:251">
      <c r="A7" s="295" t="s">
        <v>126</v>
      </c>
      <c r="B7" s="299">
        <f>'附表1-面积统计表'!F29</f>
        <v>0</v>
      </c>
      <c r="C7" s="296"/>
      <c r="D7" s="296"/>
      <c r="E7" s="296"/>
      <c r="F7" s="299" t="s">
        <v>127</v>
      </c>
      <c r="G7" s="299">
        <f>'附表1-面积统计表'!I29+'附表1-面积统计表'!J29</f>
        <v>0</v>
      </c>
      <c r="H7" s="296"/>
      <c r="I7" s="296"/>
      <c r="J7" s="296"/>
      <c r="K7" s="296"/>
      <c r="L7" s="296"/>
      <c r="M7" s="311"/>
      <c r="N7" s="311"/>
      <c r="O7" s="311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312"/>
      <c r="DU7" s="312"/>
      <c r="DV7" s="312"/>
      <c r="DW7" s="312"/>
      <c r="DX7" s="312"/>
      <c r="DY7" s="312"/>
      <c r="DZ7" s="312"/>
      <c r="EA7" s="312"/>
      <c r="EB7" s="312"/>
      <c r="EC7" s="312"/>
      <c r="ED7" s="312"/>
      <c r="EE7" s="312"/>
      <c r="EF7" s="312"/>
      <c r="EG7" s="312"/>
      <c r="EH7" s="312"/>
      <c r="EI7" s="312"/>
      <c r="EJ7" s="312"/>
      <c r="EK7" s="312"/>
      <c r="EL7" s="312"/>
      <c r="EM7" s="312"/>
      <c r="EN7" s="312"/>
      <c r="EO7" s="312"/>
      <c r="EP7" s="312"/>
      <c r="EQ7" s="312"/>
      <c r="ER7" s="312"/>
      <c r="ES7" s="312"/>
      <c r="ET7" s="312"/>
      <c r="EU7" s="312"/>
      <c r="EV7" s="312"/>
      <c r="EW7" s="312"/>
      <c r="EX7" s="312"/>
      <c r="EY7" s="312"/>
      <c r="EZ7" s="312"/>
      <c r="FA7" s="312"/>
      <c r="FB7" s="312"/>
      <c r="FC7" s="312"/>
      <c r="FD7" s="312"/>
      <c r="FE7" s="312"/>
      <c r="FF7" s="312"/>
      <c r="FG7" s="312"/>
      <c r="FH7" s="312"/>
      <c r="FI7" s="312"/>
      <c r="FJ7" s="312"/>
      <c r="FK7" s="312"/>
      <c r="FL7" s="312"/>
      <c r="FM7" s="312"/>
      <c r="FN7" s="312"/>
      <c r="FO7" s="312"/>
      <c r="FP7" s="312"/>
      <c r="FQ7" s="312"/>
      <c r="FR7" s="312"/>
      <c r="FS7" s="312"/>
      <c r="FT7" s="312"/>
      <c r="FU7" s="312"/>
      <c r="FV7" s="312"/>
      <c r="FW7" s="312"/>
      <c r="FX7" s="312"/>
      <c r="FY7" s="312"/>
      <c r="FZ7" s="312"/>
      <c r="GA7" s="312"/>
      <c r="GB7" s="312"/>
      <c r="GC7" s="312"/>
      <c r="GD7" s="312"/>
      <c r="GE7" s="312"/>
      <c r="GF7" s="312"/>
      <c r="GG7" s="312"/>
      <c r="GH7" s="312"/>
      <c r="GI7" s="312"/>
      <c r="GJ7" s="312"/>
      <c r="GK7" s="312"/>
      <c r="GL7" s="312"/>
      <c r="GM7" s="312"/>
      <c r="GN7" s="312"/>
      <c r="GO7" s="312"/>
      <c r="GP7" s="312"/>
      <c r="GQ7" s="312"/>
      <c r="GR7" s="312"/>
      <c r="GS7" s="312"/>
      <c r="GT7" s="312"/>
      <c r="GU7" s="312"/>
      <c r="GV7" s="312"/>
      <c r="GW7" s="312"/>
      <c r="GX7" s="312"/>
      <c r="GY7" s="312"/>
      <c r="GZ7" s="312"/>
      <c r="HA7" s="312"/>
      <c r="HB7" s="312"/>
      <c r="HC7" s="312"/>
      <c r="HD7" s="312"/>
      <c r="HE7" s="312"/>
      <c r="HF7" s="312"/>
      <c r="HG7" s="312"/>
      <c r="HH7" s="312"/>
      <c r="HI7" s="312"/>
      <c r="HJ7" s="312"/>
      <c r="HK7" s="312"/>
      <c r="HL7" s="312"/>
      <c r="HM7" s="312"/>
      <c r="HN7" s="312"/>
      <c r="HO7" s="312"/>
      <c r="HP7" s="312"/>
      <c r="HQ7" s="312"/>
      <c r="HR7" s="312"/>
      <c r="HS7" s="312"/>
      <c r="HT7" s="312"/>
      <c r="HU7" s="312"/>
      <c r="HV7" s="312"/>
      <c r="HW7" s="312"/>
      <c r="HX7" s="312"/>
      <c r="HY7" s="312"/>
      <c r="HZ7" s="312"/>
      <c r="IA7" s="312"/>
      <c r="IB7" s="312"/>
      <c r="IC7" s="312"/>
      <c r="ID7" s="312"/>
      <c r="IE7" s="312"/>
      <c r="IF7" s="312"/>
      <c r="IG7" s="312"/>
      <c r="IH7" s="312"/>
      <c r="II7" s="312"/>
      <c r="IJ7" s="312"/>
      <c r="IK7" s="312"/>
      <c r="IL7" s="312"/>
      <c r="IM7" s="312"/>
      <c r="IN7" s="312"/>
      <c r="IO7" s="312"/>
      <c r="IP7" s="312"/>
      <c r="IQ7" s="312"/>
    </row>
    <row r="8" s="287" customFormat="1" ht="37.5" spans="1:251">
      <c r="A8" s="295" t="s">
        <v>128</v>
      </c>
      <c r="B8" s="299">
        <f>'附表1-面积统计表'!G29</f>
        <v>0</v>
      </c>
      <c r="C8" s="299" t="s">
        <v>129</v>
      </c>
      <c r="D8" s="299">
        <f>'附表1-面积统计表'!G5</f>
        <v>0</v>
      </c>
      <c r="E8" s="299"/>
      <c r="F8" s="297" t="s">
        <v>130</v>
      </c>
      <c r="G8" s="299">
        <f>'附表1-面积统计表'!G6</f>
        <v>0</v>
      </c>
      <c r="H8" s="299"/>
      <c r="I8" s="313" t="s">
        <v>131</v>
      </c>
      <c r="J8" s="299">
        <f>'附表1-面积统计表'!G7</f>
        <v>0</v>
      </c>
      <c r="K8" s="296"/>
      <c r="L8" s="296"/>
      <c r="M8" s="311"/>
      <c r="N8" s="311"/>
      <c r="O8" s="311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2"/>
      <c r="BB8" s="312"/>
      <c r="BC8" s="312"/>
      <c r="BD8" s="312"/>
      <c r="BE8" s="312"/>
      <c r="BF8" s="312"/>
      <c r="BG8" s="312"/>
      <c r="BH8" s="312"/>
      <c r="BI8" s="312"/>
      <c r="BJ8" s="312"/>
      <c r="BK8" s="312"/>
      <c r="BL8" s="312"/>
      <c r="BM8" s="312"/>
      <c r="BN8" s="312"/>
      <c r="BO8" s="312"/>
      <c r="BP8" s="312"/>
      <c r="BQ8" s="312"/>
      <c r="BR8" s="312"/>
      <c r="BS8" s="312"/>
      <c r="BT8" s="312"/>
      <c r="BU8" s="312"/>
      <c r="BV8" s="312"/>
      <c r="BW8" s="312"/>
      <c r="BX8" s="312"/>
      <c r="BY8" s="312"/>
      <c r="BZ8" s="312"/>
      <c r="CA8" s="312"/>
      <c r="CB8" s="312"/>
      <c r="CC8" s="312"/>
      <c r="CD8" s="312"/>
      <c r="CE8" s="312"/>
      <c r="CF8" s="312"/>
      <c r="CG8" s="312"/>
      <c r="CH8" s="312"/>
      <c r="CI8" s="312"/>
      <c r="CJ8" s="312"/>
      <c r="CK8" s="312"/>
      <c r="CL8" s="312"/>
      <c r="CM8" s="312"/>
      <c r="CN8" s="312"/>
      <c r="CO8" s="312"/>
      <c r="CP8" s="312"/>
      <c r="CQ8" s="312"/>
      <c r="CR8" s="312"/>
      <c r="CS8" s="312"/>
      <c r="CT8" s="312"/>
      <c r="CU8" s="312"/>
      <c r="CV8" s="312"/>
      <c r="CW8" s="312"/>
      <c r="CX8" s="312"/>
      <c r="CY8" s="312"/>
      <c r="CZ8" s="312"/>
      <c r="DA8" s="312"/>
      <c r="DB8" s="312"/>
      <c r="DC8" s="312"/>
      <c r="DD8" s="312"/>
      <c r="DE8" s="312"/>
      <c r="DF8" s="312"/>
      <c r="DG8" s="312"/>
      <c r="DH8" s="312"/>
      <c r="DI8" s="312"/>
      <c r="DJ8" s="312"/>
      <c r="DK8" s="312"/>
      <c r="DL8" s="312"/>
      <c r="DM8" s="312"/>
      <c r="DN8" s="312"/>
      <c r="DO8" s="312"/>
      <c r="DP8" s="312"/>
      <c r="DQ8" s="312"/>
      <c r="DR8" s="312"/>
      <c r="DS8" s="312"/>
      <c r="DT8" s="312"/>
      <c r="DU8" s="312"/>
      <c r="DV8" s="312"/>
      <c r="DW8" s="312"/>
      <c r="DX8" s="312"/>
      <c r="DY8" s="312"/>
      <c r="DZ8" s="312"/>
      <c r="EA8" s="312"/>
      <c r="EB8" s="312"/>
      <c r="EC8" s="312"/>
      <c r="ED8" s="312"/>
      <c r="EE8" s="312"/>
      <c r="EF8" s="312"/>
      <c r="EG8" s="312"/>
      <c r="EH8" s="312"/>
      <c r="EI8" s="312"/>
      <c r="EJ8" s="312"/>
      <c r="EK8" s="312"/>
      <c r="EL8" s="312"/>
      <c r="EM8" s="312"/>
      <c r="EN8" s="312"/>
      <c r="EO8" s="312"/>
      <c r="EP8" s="312"/>
      <c r="EQ8" s="312"/>
      <c r="ER8" s="312"/>
      <c r="ES8" s="312"/>
      <c r="ET8" s="312"/>
      <c r="EU8" s="312"/>
      <c r="EV8" s="312"/>
      <c r="EW8" s="312"/>
      <c r="EX8" s="312"/>
      <c r="EY8" s="312"/>
      <c r="EZ8" s="312"/>
      <c r="FA8" s="312"/>
      <c r="FB8" s="312"/>
      <c r="FC8" s="312"/>
      <c r="FD8" s="312"/>
      <c r="FE8" s="312"/>
      <c r="FF8" s="312"/>
      <c r="FG8" s="312"/>
      <c r="FH8" s="312"/>
      <c r="FI8" s="312"/>
      <c r="FJ8" s="312"/>
      <c r="FK8" s="312"/>
      <c r="FL8" s="312"/>
      <c r="FM8" s="312"/>
      <c r="FN8" s="312"/>
      <c r="FO8" s="312"/>
      <c r="FP8" s="312"/>
      <c r="FQ8" s="312"/>
      <c r="FR8" s="312"/>
      <c r="FS8" s="312"/>
      <c r="FT8" s="312"/>
      <c r="FU8" s="312"/>
      <c r="FV8" s="312"/>
      <c r="FW8" s="312"/>
      <c r="FX8" s="312"/>
      <c r="FY8" s="312"/>
      <c r="FZ8" s="312"/>
      <c r="GA8" s="312"/>
      <c r="GB8" s="312"/>
      <c r="GC8" s="312"/>
      <c r="GD8" s="312"/>
      <c r="GE8" s="312"/>
      <c r="GF8" s="312"/>
      <c r="GG8" s="312"/>
      <c r="GH8" s="312"/>
      <c r="GI8" s="312"/>
      <c r="GJ8" s="312"/>
      <c r="GK8" s="312"/>
      <c r="GL8" s="312"/>
      <c r="GM8" s="312"/>
      <c r="GN8" s="312"/>
      <c r="GO8" s="312"/>
      <c r="GP8" s="312"/>
      <c r="GQ8" s="312"/>
      <c r="GR8" s="312"/>
      <c r="GS8" s="312"/>
      <c r="GT8" s="312"/>
      <c r="GU8" s="312"/>
      <c r="GV8" s="312"/>
      <c r="GW8" s="312"/>
      <c r="GX8" s="312"/>
      <c r="GY8" s="312"/>
      <c r="GZ8" s="312"/>
      <c r="HA8" s="312"/>
      <c r="HB8" s="312"/>
      <c r="HC8" s="312"/>
      <c r="HD8" s="312"/>
      <c r="HE8" s="312"/>
      <c r="HF8" s="312"/>
      <c r="HG8" s="312"/>
      <c r="HH8" s="312"/>
      <c r="HI8" s="312"/>
      <c r="HJ8" s="312"/>
      <c r="HK8" s="312"/>
      <c r="HL8" s="312"/>
      <c r="HM8" s="312"/>
      <c r="HN8" s="312"/>
      <c r="HO8" s="312"/>
      <c r="HP8" s="312"/>
      <c r="HQ8" s="312"/>
      <c r="HR8" s="312"/>
      <c r="HS8" s="312"/>
      <c r="HT8" s="312"/>
      <c r="HU8" s="312"/>
      <c r="HV8" s="312"/>
      <c r="HW8" s="312"/>
      <c r="HX8" s="312"/>
      <c r="HY8" s="312"/>
      <c r="HZ8" s="312"/>
      <c r="IA8" s="312"/>
      <c r="IB8" s="312"/>
      <c r="IC8" s="312"/>
      <c r="ID8" s="312"/>
      <c r="IE8" s="312"/>
      <c r="IF8" s="312"/>
      <c r="IG8" s="312"/>
      <c r="IH8" s="312"/>
      <c r="II8" s="312"/>
      <c r="IJ8" s="312"/>
      <c r="IK8" s="312"/>
      <c r="IL8" s="312"/>
      <c r="IM8" s="312"/>
      <c r="IN8" s="312"/>
      <c r="IO8" s="312"/>
      <c r="IP8" s="312"/>
      <c r="IQ8" s="312"/>
    </row>
    <row r="9" s="287" customFormat="1" ht="37.5" spans="1:251">
      <c r="A9" s="295" t="s">
        <v>132</v>
      </c>
      <c r="B9" s="299">
        <f>'附表1-面积统计表'!H29</f>
        <v>0</v>
      </c>
      <c r="C9" s="299" t="s">
        <v>133</v>
      </c>
      <c r="D9" s="299">
        <f>'附表1-面积统计表'!H5</f>
        <v>0</v>
      </c>
      <c r="E9" s="299"/>
      <c r="F9" s="297" t="s">
        <v>134</v>
      </c>
      <c r="G9" s="299">
        <f>'附表1-面积统计表'!H6</f>
        <v>0</v>
      </c>
      <c r="H9" s="299"/>
      <c r="I9" s="313" t="s">
        <v>135</v>
      </c>
      <c r="J9" s="299">
        <f>'附表1-面积统计表'!H7</f>
        <v>0</v>
      </c>
      <c r="K9" s="296"/>
      <c r="L9" s="296"/>
      <c r="M9" s="311"/>
      <c r="N9" s="311"/>
      <c r="O9" s="311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2"/>
      <c r="BG9" s="312"/>
      <c r="BH9" s="312"/>
      <c r="BI9" s="312"/>
      <c r="BJ9" s="312"/>
      <c r="BK9" s="312"/>
      <c r="BL9" s="312"/>
      <c r="BM9" s="312"/>
      <c r="BN9" s="312"/>
      <c r="BO9" s="312"/>
      <c r="BP9" s="312"/>
      <c r="BQ9" s="312"/>
      <c r="BR9" s="312"/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2"/>
      <c r="CD9" s="312"/>
      <c r="CE9" s="312"/>
      <c r="CF9" s="312"/>
      <c r="CG9" s="312"/>
      <c r="CH9" s="312"/>
      <c r="CI9" s="312"/>
      <c r="CJ9" s="312"/>
      <c r="CK9" s="312"/>
      <c r="CL9" s="312"/>
      <c r="CM9" s="312"/>
      <c r="CN9" s="312"/>
      <c r="CO9" s="312"/>
      <c r="CP9" s="312"/>
      <c r="CQ9" s="312"/>
      <c r="CR9" s="312"/>
      <c r="CS9" s="312"/>
      <c r="CT9" s="312"/>
      <c r="CU9" s="312"/>
      <c r="CV9" s="312"/>
      <c r="CW9" s="312"/>
      <c r="CX9" s="312"/>
      <c r="CY9" s="312"/>
      <c r="CZ9" s="312"/>
      <c r="DA9" s="312"/>
      <c r="DB9" s="312"/>
      <c r="DC9" s="312"/>
      <c r="DD9" s="312"/>
      <c r="DE9" s="312"/>
      <c r="DF9" s="312"/>
      <c r="DG9" s="312"/>
      <c r="DH9" s="312"/>
      <c r="DI9" s="312"/>
      <c r="DJ9" s="312"/>
      <c r="DK9" s="312"/>
      <c r="DL9" s="312"/>
      <c r="DM9" s="312"/>
      <c r="DN9" s="312"/>
      <c r="DO9" s="312"/>
      <c r="DP9" s="312"/>
      <c r="DQ9" s="312"/>
      <c r="DR9" s="312"/>
      <c r="DS9" s="312"/>
      <c r="DT9" s="312"/>
      <c r="DU9" s="312"/>
      <c r="DV9" s="312"/>
      <c r="DW9" s="312"/>
      <c r="DX9" s="312"/>
      <c r="DY9" s="312"/>
      <c r="DZ9" s="312"/>
      <c r="EA9" s="312"/>
      <c r="EB9" s="312"/>
      <c r="EC9" s="312"/>
      <c r="ED9" s="312"/>
      <c r="EE9" s="312"/>
      <c r="EF9" s="312"/>
      <c r="EG9" s="312"/>
      <c r="EH9" s="312"/>
      <c r="EI9" s="312"/>
      <c r="EJ9" s="312"/>
      <c r="EK9" s="312"/>
      <c r="EL9" s="312"/>
      <c r="EM9" s="312"/>
      <c r="EN9" s="312"/>
      <c r="EO9" s="312"/>
      <c r="EP9" s="312"/>
      <c r="EQ9" s="312"/>
      <c r="ER9" s="312"/>
      <c r="ES9" s="312"/>
      <c r="ET9" s="312"/>
      <c r="EU9" s="312"/>
      <c r="EV9" s="312"/>
      <c r="EW9" s="312"/>
      <c r="EX9" s="312"/>
      <c r="EY9" s="312"/>
      <c r="EZ9" s="312"/>
      <c r="FA9" s="312"/>
      <c r="FB9" s="312"/>
      <c r="FC9" s="312"/>
      <c r="FD9" s="312"/>
      <c r="FE9" s="312"/>
      <c r="FF9" s="312"/>
      <c r="FG9" s="312"/>
      <c r="FH9" s="312"/>
      <c r="FI9" s="312"/>
      <c r="FJ9" s="312"/>
      <c r="FK9" s="312"/>
      <c r="FL9" s="312"/>
      <c r="FM9" s="312"/>
      <c r="FN9" s="312"/>
      <c r="FO9" s="312"/>
      <c r="FP9" s="312"/>
      <c r="FQ9" s="312"/>
      <c r="FR9" s="312"/>
      <c r="FS9" s="312"/>
      <c r="FT9" s="312"/>
      <c r="FU9" s="312"/>
      <c r="FV9" s="312"/>
      <c r="FW9" s="312"/>
      <c r="FX9" s="312"/>
      <c r="FY9" s="312"/>
      <c r="FZ9" s="312"/>
      <c r="GA9" s="312"/>
      <c r="GB9" s="312"/>
      <c r="GC9" s="312"/>
      <c r="GD9" s="312"/>
      <c r="GE9" s="312"/>
      <c r="GF9" s="312"/>
      <c r="GG9" s="312"/>
      <c r="GH9" s="312"/>
      <c r="GI9" s="312"/>
      <c r="GJ9" s="312"/>
      <c r="GK9" s="312"/>
      <c r="GL9" s="312"/>
      <c r="GM9" s="312"/>
      <c r="GN9" s="312"/>
      <c r="GO9" s="312"/>
      <c r="GP9" s="312"/>
      <c r="GQ9" s="312"/>
      <c r="GR9" s="312"/>
      <c r="GS9" s="312"/>
      <c r="GT9" s="312"/>
      <c r="GU9" s="312"/>
      <c r="GV9" s="312"/>
      <c r="GW9" s="312"/>
      <c r="GX9" s="312"/>
      <c r="GY9" s="312"/>
      <c r="GZ9" s="312"/>
      <c r="HA9" s="312"/>
      <c r="HB9" s="312"/>
      <c r="HC9" s="312"/>
      <c r="HD9" s="312"/>
      <c r="HE9" s="312"/>
      <c r="HF9" s="312"/>
      <c r="HG9" s="312"/>
      <c r="HH9" s="312"/>
      <c r="HI9" s="312"/>
      <c r="HJ9" s="312"/>
      <c r="HK9" s="312"/>
      <c r="HL9" s="312"/>
      <c r="HM9" s="312"/>
      <c r="HN9" s="312"/>
      <c r="HO9" s="312"/>
      <c r="HP9" s="312"/>
      <c r="HQ9" s="312"/>
      <c r="HR9" s="312"/>
      <c r="HS9" s="312"/>
      <c r="HT9" s="312"/>
      <c r="HU9" s="312"/>
      <c r="HV9" s="312"/>
      <c r="HW9" s="312"/>
      <c r="HX9" s="312"/>
      <c r="HY9" s="312"/>
      <c r="HZ9" s="312"/>
      <c r="IA9" s="312"/>
      <c r="IB9" s="312"/>
      <c r="IC9" s="312"/>
      <c r="ID9" s="312"/>
      <c r="IE9" s="312"/>
      <c r="IF9" s="312"/>
      <c r="IG9" s="312"/>
      <c r="IH9" s="312"/>
      <c r="II9" s="312"/>
      <c r="IJ9" s="312"/>
      <c r="IK9" s="312"/>
      <c r="IL9" s="312"/>
      <c r="IM9" s="312"/>
      <c r="IN9" s="312"/>
      <c r="IO9" s="312"/>
      <c r="IP9" s="312"/>
      <c r="IQ9" s="312"/>
    </row>
    <row r="10" s="288" customFormat="1" ht="34.5" customHeight="1" spans="1:15">
      <c r="A10" s="300" t="s">
        <v>136</v>
      </c>
      <c r="B10" s="301"/>
      <c r="C10" s="302" t="s">
        <v>137</v>
      </c>
      <c r="D10" s="302" t="s">
        <v>138</v>
      </c>
      <c r="E10" s="302"/>
      <c r="F10" s="302" t="s">
        <v>139</v>
      </c>
      <c r="G10" s="302"/>
      <c r="H10" s="302" t="s">
        <v>140</v>
      </c>
      <c r="I10" s="302"/>
      <c r="J10" s="302" t="s">
        <v>141</v>
      </c>
      <c r="K10" s="302"/>
      <c r="L10" s="302"/>
      <c r="M10" s="314"/>
      <c r="N10" s="314"/>
      <c r="O10" s="314"/>
    </row>
    <row r="11" ht="34.5" customHeight="1" spans="1:251">
      <c r="A11" s="303" t="s">
        <v>142</v>
      </c>
      <c r="B11" s="303"/>
      <c r="C11" s="304" t="s">
        <v>143</v>
      </c>
      <c r="D11" s="305">
        <f>SUM(D12:D14)</f>
        <v>0</v>
      </c>
      <c r="E11" s="305"/>
      <c r="F11" s="305">
        <f>SUM(F12:F14)</f>
        <v>0</v>
      </c>
      <c r="G11" s="305"/>
      <c r="H11" s="305">
        <f>SUM(H12:H14)</f>
        <v>0</v>
      </c>
      <c r="I11" s="305"/>
      <c r="J11" s="305">
        <f>SUM(D11:I11)</f>
        <v>0</v>
      </c>
      <c r="K11" s="305"/>
      <c r="L11" s="305"/>
      <c r="M11" s="134"/>
      <c r="N11" s="134"/>
      <c r="O11" s="134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</row>
    <row r="12" ht="34.5" customHeight="1" spans="1:251">
      <c r="A12" s="303" t="s">
        <v>144</v>
      </c>
      <c r="B12" s="303"/>
      <c r="C12" s="304">
        <v>2</v>
      </c>
      <c r="D12" s="305">
        <f>'附表2-收入统计表'!C5</f>
        <v>0</v>
      </c>
      <c r="E12" s="305"/>
      <c r="F12" s="305" t="str">
        <f>IF($H$6="三分法",'附表2-收入统计表'!C6,"")</f>
        <v/>
      </c>
      <c r="G12" s="305"/>
      <c r="H12" s="305">
        <f>IF($H$6="三分法",'附表2-收入统计表'!C7,SUM('附表2-收入统计表'!C6:C7))</f>
        <v>0</v>
      </c>
      <c r="I12" s="305"/>
      <c r="J12" s="305">
        <f t="shared" ref="J12:J35" si="0">SUM(D12:I12)</f>
        <v>0</v>
      </c>
      <c r="K12" s="305"/>
      <c r="L12" s="305"/>
      <c r="M12" s="134"/>
      <c r="N12" s="134"/>
      <c r="O12" s="134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</row>
    <row r="13" ht="34.5" customHeight="1" spans="1:251">
      <c r="A13" s="303" t="s">
        <v>145</v>
      </c>
      <c r="B13" s="303"/>
      <c r="C13" s="304">
        <v>3</v>
      </c>
      <c r="D13" s="305">
        <f>'附表2-收入统计表'!D5</f>
        <v>0</v>
      </c>
      <c r="E13" s="305"/>
      <c r="F13" s="305" t="str">
        <f>IF($H$6="三分法",'附表2-收入统计表'!D6,"")</f>
        <v/>
      </c>
      <c r="G13" s="305"/>
      <c r="H13" s="305">
        <f>IF($H$6="三分法",'附表2-收入统计表'!D7,SUM('附表2-收入统计表'!D6:D7))</f>
        <v>0</v>
      </c>
      <c r="I13" s="305"/>
      <c r="J13" s="305">
        <f t="shared" si="0"/>
        <v>0</v>
      </c>
      <c r="K13" s="305"/>
      <c r="L13" s="305"/>
      <c r="M13" s="134"/>
      <c r="N13" s="134"/>
      <c r="O13" s="134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</row>
    <row r="14" ht="34.5" customHeight="1" spans="1:251">
      <c r="A14" s="303" t="s">
        <v>146</v>
      </c>
      <c r="B14" s="303"/>
      <c r="C14" s="304">
        <v>4</v>
      </c>
      <c r="D14" s="305">
        <f>'附表2-收入统计表'!E5</f>
        <v>0</v>
      </c>
      <c r="E14" s="305"/>
      <c r="F14" s="305" t="str">
        <f>IF($H$6="三分法",'附表2-收入统计表'!E6,"")</f>
        <v/>
      </c>
      <c r="G14" s="305"/>
      <c r="H14" s="305">
        <f>IF($H$6="三分法",'附表2-收入统计表'!E7,SUM('附表2-收入统计表'!E6:E7))</f>
        <v>0</v>
      </c>
      <c r="I14" s="305"/>
      <c r="J14" s="305">
        <f t="shared" si="0"/>
        <v>0</v>
      </c>
      <c r="K14" s="305"/>
      <c r="L14" s="305"/>
      <c r="M14" s="134"/>
      <c r="N14" s="134"/>
      <c r="O14" s="134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</row>
    <row r="15" ht="53.1" customHeight="1" spans="1:251">
      <c r="A15" s="303" t="s">
        <v>147</v>
      </c>
      <c r="B15" s="303"/>
      <c r="C15" s="304" t="s">
        <v>148</v>
      </c>
      <c r="D15" s="305">
        <f>SUM(D16)+SUM(D18)+SUM(D26)+SUM(D29)+SUM(D33)+SUM(D34)</f>
        <v>0</v>
      </c>
      <c r="E15" s="305"/>
      <c r="F15" s="305">
        <f t="shared" ref="F15" si="1">SUM(F16)+SUM(F18)+SUM(F26)+SUM(F29)+SUM(F33)+SUM(F34)</f>
        <v>0</v>
      </c>
      <c r="G15" s="305"/>
      <c r="H15" s="305">
        <f t="shared" ref="H15" si="2">SUM(H16)+SUM(H18)+SUM(H26)+SUM(H29)+SUM(H33)+SUM(H34)</f>
        <v>0</v>
      </c>
      <c r="I15" s="305"/>
      <c r="J15" s="305">
        <f t="shared" si="0"/>
        <v>0</v>
      </c>
      <c r="K15" s="305"/>
      <c r="L15" s="305"/>
      <c r="M15" s="134"/>
      <c r="N15" s="134"/>
      <c r="O15" s="134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</row>
    <row r="16" s="289" customFormat="1" ht="34.5" customHeight="1" spans="1:251">
      <c r="A16" s="303" t="s">
        <v>149</v>
      </c>
      <c r="B16" s="303"/>
      <c r="C16" s="304">
        <v>6</v>
      </c>
      <c r="D16" s="305">
        <f>SUM('附表3-扣除项目分摊表'!K7)</f>
        <v>0</v>
      </c>
      <c r="E16" s="305"/>
      <c r="F16" s="305" t="str">
        <f>IF($H$6="三分法",SUM('附表3-扣除项目分摊表'!L7),"")</f>
        <v/>
      </c>
      <c r="G16" s="305"/>
      <c r="H16" s="305">
        <f>IF($H$6="三分法",SUM('附表3-扣除项目分摊表'!M7),SUM('附表3-扣除项目分摊表'!L7:M7))</f>
        <v>0</v>
      </c>
      <c r="I16" s="305"/>
      <c r="J16" s="305">
        <f t="shared" si="0"/>
        <v>0</v>
      </c>
      <c r="K16" s="305"/>
      <c r="L16" s="30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5"/>
      <c r="CZ16" s="315"/>
      <c r="DA16" s="315"/>
      <c r="DB16" s="315"/>
      <c r="DC16" s="315"/>
      <c r="DD16" s="315"/>
      <c r="DE16" s="315"/>
      <c r="DF16" s="315"/>
      <c r="DG16" s="315"/>
      <c r="DH16" s="315"/>
      <c r="DI16" s="315"/>
      <c r="DJ16" s="315"/>
      <c r="DK16" s="315"/>
      <c r="DL16" s="315"/>
      <c r="DM16" s="315"/>
      <c r="DN16" s="315"/>
      <c r="DO16" s="315"/>
      <c r="DP16" s="315"/>
      <c r="DQ16" s="315"/>
      <c r="DR16" s="315"/>
      <c r="DS16" s="315"/>
      <c r="DT16" s="315"/>
      <c r="DU16" s="315"/>
      <c r="DV16" s="315"/>
      <c r="DW16" s="315"/>
      <c r="DX16" s="315"/>
      <c r="DY16" s="315"/>
      <c r="DZ16" s="315"/>
      <c r="EA16" s="315"/>
      <c r="EB16" s="315"/>
      <c r="EC16" s="315"/>
      <c r="ED16" s="315"/>
      <c r="EE16" s="315"/>
      <c r="EF16" s="315"/>
      <c r="EG16" s="315"/>
      <c r="EH16" s="315"/>
      <c r="EI16" s="315"/>
      <c r="EJ16" s="315"/>
      <c r="EK16" s="315"/>
      <c r="EL16" s="315"/>
      <c r="EM16" s="315"/>
      <c r="EN16" s="315"/>
      <c r="EO16" s="315"/>
      <c r="EP16" s="315"/>
      <c r="EQ16" s="315"/>
      <c r="ER16" s="315"/>
      <c r="ES16" s="315"/>
      <c r="ET16" s="315"/>
      <c r="EU16" s="315"/>
      <c r="EV16" s="315"/>
      <c r="EW16" s="315"/>
      <c r="EX16" s="315"/>
      <c r="EY16" s="315"/>
      <c r="EZ16" s="315"/>
      <c r="FA16" s="315"/>
      <c r="FB16" s="315"/>
      <c r="FC16" s="315"/>
      <c r="FD16" s="315"/>
      <c r="FE16" s="315"/>
      <c r="FF16" s="315"/>
      <c r="FG16" s="315"/>
      <c r="FH16" s="315"/>
      <c r="FI16" s="315"/>
      <c r="FJ16" s="315"/>
      <c r="FK16" s="315"/>
      <c r="FL16" s="315"/>
      <c r="FM16" s="315"/>
      <c r="FN16" s="315"/>
      <c r="FO16" s="315"/>
      <c r="FP16" s="315"/>
      <c r="FQ16" s="315"/>
      <c r="FR16" s="315"/>
      <c r="FS16" s="315"/>
      <c r="FT16" s="315"/>
      <c r="FU16" s="315"/>
      <c r="FV16" s="315"/>
      <c r="FW16" s="315"/>
      <c r="FX16" s="315"/>
      <c r="FY16" s="315"/>
      <c r="FZ16" s="315"/>
      <c r="GA16" s="315"/>
      <c r="GB16" s="315"/>
      <c r="GC16" s="315"/>
      <c r="GD16" s="315"/>
      <c r="GE16" s="315"/>
      <c r="GF16" s="315"/>
      <c r="GG16" s="315"/>
      <c r="GH16" s="315"/>
      <c r="GI16" s="315"/>
      <c r="GJ16" s="315"/>
      <c r="GK16" s="315"/>
      <c r="GL16" s="315"/>
      <c r="GM16" s="315"/>
      <c r="GN16" s="315"/>
      <c r="GO16" s="315"/>
      <c r="GP16" s="315"/>
      <c r="GQ16" s="315"/>
      <c r="GR16" s="315"/>
      <c r="GS16" s="315"/>
      <c r="GT16" s="315"/>
      <c r="GU16" s="315"/>
      <c r="GV16" s="315"/>
      <c r="GW16" s="315"/>
      <c r="GX16" s="315"/>
      <c r="GY16" s="315"/>
      <c r="GZ16" s="315"/>
      <c r="HA16" s="315"/>
      <c r="HB16" s="315"/>
      <c r="HC16" s="315"/>
      <c r="HD16" s="315"/>
      <c r="HE16" s="315"/>
      <c r="HF16" s="315"/>
      <c r="HG16" s="315"/>
      <c r="HH16" s="315"/>
      <c r="HI16" s="315"/>
      <c r="HJ16" s="315"/>
      <c r="HK16" s="315"/>
      <c r="HL16" s="315"/>
      <c r="HM16" s="315"/>
      <c r="HN16" s="315"/>
      <c r="HO16" s="315"/>
      <c r="HP16" s="315"/>
      <c r="HQ16" s="315"/>
      <c r="HR16" s="315"/>
      <c r="HS16" s="315"/>
      <c r="HT16" s="315"/>
      <c r="HU16" s="315"/>
      <c r="HV16" s="315"/>
      <c r="HW16" s="315"/>
      <c r="HX16" s="315"/>
      <c r="HY16" s="315"/>
      <c r="HZ16" s="315"/>
      <c r="IA16" s="315"/>
      <c r="IB16" s="315"/>
      <c r="IC16" s="315"/>
      <c r="ID16" s="315"/>
      <c r="IE16" s="315"/>
      <c r="IF16" s="315"/>
      <c r="IG16" s="315"/>
      <c r="IH16" s="315"/>
      <c r="II16" s="315"/>
      <c r="IJ16" s="315"/>
      <c r="IK16" s="315"/>
      <c r="IL16" s="315"/>
      <c r="IM16" s="315"/>
      <c r="IN16" s="315"/>
      <c r="IO16" s="315"/>
      <c r="IP16" s="315"/>
      <c r="IQ16" s="315"/>
    </row>
    <row r="17" s="289" customFormat="1" ht="34.5" customHeight="1" spans="1:251">
      <c r="A17" s="303" t="s">
        <v>150</v>
      </c>
      <c r="B17" s="303"/>
      <c r="C17" s="306" t="s">
        <v>151</v>
      </c>
      <c r="D17" s="305">
        <f>SUM('附表3-扣除项目分摊表'!K8)</f>
        <v>0</v>
      </c>
      <c r="E17" s="305"/>
      <c r="F17" s="305" t="str">
        <f>IF($H$6="三分法",SUM('附表3-扣除项目分摊表'!L8),"")</f>
        <v/>
      </c>
      <c r="G17" s="305"/>
      <c r="H17" s="305">
        <f>IF($H$6="三分法",SUM('附表3-扣除项目分摊表'!M8),SUM('附表3-扣除项目分摊表'!L8:M8))</f>
        <v>0</v>
      </c>
      <c r="I17" s="305"/>
      <c r="J17" s="305">
        <f t="shared" si="0"/>
        <v>0</v>
      </c>
      <c r="K17" s="305"/>
      <c r="L17" s="30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315"/>
      <c r="CJ17" s="315"/>
      <c r="CK17" s="315"/>
      <c r="CL17" s="315"/>
      <c r="CM17" s="315"/>
      <c r="CN17" s="315"/>
      <c r="CO17" s="315"/>
      <c r="CP17" s="315"/>
      <c r="CQ17" s="315"/>
      <c r="CR17" s="315"/>
      <c r="CS17" s="315"/>
      <c r="CT17" s="315"/>
      <c r="CU17" s="315"/>
      <c r="CV17" s="315"/>
      <c r="CW17" s="315"/>
      <c r="CX17" s="315"/>
      <c r="CY17" s="315"/>
      <c r="CZ17" s="315"/>
      <c r="DA17" s="315"/>
      <c r="DB17" s="315"/>
      <c r="DC17" s="315"/>
      <c r="DD17" s="315"/>
      <c r="DE17" s="315"/>
      <c r="DF17" s="315"/>
      <c r="DG17" s="315"/>
      <c r="DH17" s="315"/>
      <c r="DI17" s="315"/>
      <c r="DJ17" s="315"/>
      <c r="DK17" s="315"/>
      <c r="DL17" s="315"/>
      <c r="DM17" s="315"/>
      <c r="DN17" s="315"/>
      <c r="DO17" s="315"/>
      <c r="DP17" s="315"/>
      <c r="DQ17" s="315"/>
      <c r="DR17" s="315"/>
      <c r="DS17" s="315"/>
      <c r="DT17" s="315"/>
      <c r="DU17" s="315"/>
      <c r="DV17" s="315"/>
      <c r="DW17" s="315"/>
      <c r="DX17" s="315"/>
      <c r="DY17" s="315"/>
      <c r="DZ17" s="315"/>
      <c r="EA17" s="315"/>
      <c r="EB17" s="315"/>
      <c r="EC17" s="315"/>
      <c r="ED17" s="315"/>
      <c r="EE17" s="315"/>
      <c r="EF17" s="315"/>
      <c r="EG17" s="315"/>
      <c r="EH17" s="315"/>
      <c r="EI17" s="315"/>
      <c r="EJ17" s="315"/>
      <c r="EK17" s="315"/>
      <c r="EL17" s="315"/>
      <c r="EM17" s="315"/>
      <c r="EN17" s="315"/>
      <c r="EO17" s="315"/>
      <c r="EP17" s="315"/>
      <c r="EQ17" s="315"/>
      <c r="ER17" s="315"/>
      <c r="ES17" s="315"/>
      <c r="ET17" s="315"/>
      <c r="EU17" s="315"/>
      <c r="EV17" s="315"/>
      <c r="EW17" s="315"/>
      <c r="EX17" s="315"/>
      <c r="EY17" s="315"/>
      <c r="EZ17" s="315"/>
      <c r="FA17" s="315"/>
      <c r="FB17" s="315"/>
      <c r="FC17" s="315"/>
      <c r="FD17" s="315"/>
      <c r="FE17" s="315"/>
      <c r="FF17" s="315"/>
      <c r="FG17" s="315"/>
      <c r="FH17" s="315"/>
      <c r="FI17" s="315"/>
      <c r="FJ17" s="315"/>
      <c r="FK17" s="315"/>
      <c r="FL17" s="315"/>
      <c r="FM17" s="315"/>
      <c r="FN17" s="315"/>
      <c r="FO17" s="315"/>
      <c r="FP17" s="315"/>
      <c r="FQ17" s="315"/>
      <c r="FR17" s="315"/>
      <c r="FS17" s="315"/>
      <c r="FT17" s="315"/>
      <c r="FU17" s="315"/>
      <c r="FV17" s="315"/>
      <c r="FW17" s="315"/>
      <c r="FX17" s="315"/>
      <c r="FY17" s="315"/>
      <c r="FZ17" s="315"/>
      <c r="GA17" s="315"/>
      <c r="GB17" s="315"/>
      <c r="GC17" s="315"/>
      <c r="GD17" s="315"/>
      <c r="GE17" s="315"/>
      <c r="GF17" s="315"/>
      <c r="GG17" s="315"/>
      <c r="GH17" s="315"/>
      <c r="GI17" s="315"/>
      <c r="GJ17" s="315"/>
      <c r="GK17" s="315"/>
      <c r="GL17" s="315"/>
      <c r="GM17" s="315"/>
      <c r="GN17" s="315"/>
      <c r="GO17" s="315"/>
      <c r="GP17" s="315"/>
      <c r="GQ17" s="315"/>
      <c r="GR17" s="315"/>
      <c r="GS17" s="315"/>
      <c r="GT17" s="315"/>
      <c r="GU17" s="315"/>
      <c r="GV17" s="315"/>
      <c r="GW17" s="315"/>
      <c r="GX17" s="315"/>
      <c r="GY17" s="315"/>
      <c r="GZ17" s="315"/>
      <c r="HA17" s="315"/>
      <c r="HB17" s="315"/>
      <c r="HC17" s="315"/>
      <c r="HD17" s="315"/>
      <c r="HE17" s="315"/>
      <c r="HF17" s="315"/>
      <c r="HG17" s="315"/>
      <c r="HH17" s="315"/>
      <c r="HI17" s="315"/>
      <c r="HJ17" s="315"/>
      <c r="HK17" s="315"/>
      <c r="HL17" s="315"/>
      <c r="HM17" s="315"/>
      <c r="HN17" s="315"/>
      <c r="HO17" s="315"/>
      <c r="HP17" s="315"/>
      <c r="HQ17" s="315"/>
      <c r="HR17" s="315"/>
      <c r="HS17" s="315"/>
      <c r="HT17" s="315"/>
      <c r="HU17" s="315"/>
      <c r="HV17" s="315"/>
      <c r="HW17" s="315"/>
      <c r="HX17" s="315"/>
      <c r="HY17" s="315"/>
      <c r="HZ17" s="315"/>
      <c r="IA17" s="315"/>
      <c r="IB17" s="315"/>
      <c r="IC17" s="315"/>
      <c r="ID17" s="315"/>
      <c r="IE17" s="315"/>
      <c r="IF17" s="315"/>
      <c r="IG17" s="315"/>
      <c r="IH17" s="315"/>
      <c r="II17" s="315"/>
      <c r="IJ17" s="315"/>
      <c r="IK17" s="315"/>
      <c r="IL17" s="315"/>
      <c r="IM17" s="315"/>
      <c r="IN17" s="315"/>
      <c r="IO17" s="315"/>
      <c r="IP17" s="315"/>
      <c r="IQ17" s="315"/>
    </row>
    <row r="18" s="289" customFormat="1" ht="48.95" customHeight="1" spans="1:251">
      <c r="A18" s="303" t="s">
        <v>152</v>
      </c>
      <c r="B18" s="303"/>
      <c r="C18" s="304" t="s">
        <v>153</v>
      </c>
      <c r="D18" s="305">
        <f>SUM(D19:D24)</f>
        <v>0</v>
      </c>
      <c r="E18" s="305"/>
      <c r="F18" s="305">
        <f>SUM(F19:F24)</f>
        <v>0</v>
      </c>
      <c r="G18" s="305"/>
      <c r="H18" s="305">
        <f>SUM(H19:H24)</f>
        <v>0</v>
      </c>
      <c r="I18" s="305"/>
      <c r="J18" s="305">
        <f t="shared" si="0"/>
        <v>0</v>
      </c>
      <c r="K18" s="305"/>
      <c r="L18" s="30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/>
      <c r="CG18" s="315"/>
      <c r="CH18" s="315"/>
      <c r="CI18" s="315"/>
      <c r="CJ18" s="315"/>
      <c r="CK18" s="315"/>
      <c r="CL18" s="315"/>
      <c r="CM18" s="315"/>
      <c r="CN18" s="315"/>
      <c r="CO18" s="315"/>
      <c r="CP18" s="315"/>
      <c r="CQ18" s="315"/>
      <c r="CR18" s="315"/>
      <c r="CS18" s="315"/>
      <c r="CT18" s="315"/>
      <c r="CU18" s="315"/>
      <c r="CV18" s="315"/>
      <c r="CW18" s="315"/>
      <c r="CX18" s="315"/>
      <c r="CY18" s="315"/>
      <c r="CZ18" s="315"/>
      <c r="DA18" s="315"/>
      <c r="DB18" s="315"/>
      <c r="DC18" s="315"/>
      <c r="DD18" s="315"/>
      <c r="DE18" s="315"/>
      <c r="DF18" s="315"/>
      <c r="DG18" s="315"/>
      <c r="DH18" s="315"/>
      <c r="DI18" s="315"/>
      <c r="DJ18" s="315"/>
      <c r="DK18" s="315"/>
      <c r="DL18" s="315"/>
      <c r="DM18" s="315"/>
      <c r="DN18" s="315"/>
      <c r="DO18" s="315"/>
      <c r="DP18" s="315"/>
      <c r="DQ18" s="315"/>
      <c r="DR18" s="315"/>
      <c r="DS18" s="315"/>
      <c r="DT18" s="315"/>
      <c r="DU18" s="315"/>
      <c r="DV18" s="315"/>
      <c r="DW18" s="315"/>
      <c r="DX18" s="315"/>
      <c r="DY18" s="315"/>
      <c r="DZ18" s="315"/>
      <c r="EA18" s="315"/>
      <c r="EB18" s="315"/>
      <c r="EC18" s="315"/>
      <c r="ED18" s="315"/>
      <c r="EE18" s="315"/>
      <c r="EF18" s="315"/>
      <c r="EG18" s="315"/>
      <c r="EH18" s="315"/>
      <c r="EI18" s="315"/>
      <c r="EJ18" s="315"/>
      <c r="EK18" s="315"/>
      <c r="EL18" s="315"/>
      <c r="EM18" s="315"/>
      <c r="EN18" s="315"/>
      <c r="EO18" s="315"/>
      <c r="EP18" s="315"/>
      <c r="EQ18" s="315"/>
      <c r="ER18" s="315"/>
      <c r="ES18" s="315"/>
      <c r="ET18" s="315"/>
      <c r="EU18" s="315"/>
      <c r="EV18" s="315"/>
      <c r="EW18" s="315"/>
      <c r="EX18" s="315"/>
      <c r="EY18" s="315"/>
      <c r="EZ18" s="315"/>
      <c r="FA18" s="315"/>
      <c r="FB18" s="315"/>
      <c r="FC18" s="315"/>
      <c r="FD18" s="315"/>
      <c r="FE18" s="315"/>
      <c r="FF18" s="315"/>
      <c r="FG18" s="315"/>
      <c r="FH18" s="315"/>
      <c r="FI18" s="315"/>
      <c r="FJ18" s="315"/>
      <c r="FK18" s="315"/>
      <c r="FL18" s="315"/>
      <c r="FM18" s="315"/>
      <c r="FN18" s="315"/>
      <c r="FO18" s="315"/>
      <c r="FP18" s="315"/>
      <c r="FQ18" s="315"/>
      <c r="FR18" s="315"/>
      <c r="FS18" s="315"/>
      <c r="FT18" s="315"/>
      <c r="FU18" s="315"/>
      <c r="FV18" s="315"/>
      <c r="FW18" s="315"/>
      <c r="FX18" s="315"/>
      <c r="FY18" s="315"/>
      <c r="FZ18" s="315"/>
      <c r="GA18" s="315"/>
      <c r="GB18" s="315"/>
      <c r="GC18" s="315"/>
      <c r="GD18" s="315"/>
      <c r="GE18" s="315"/>
      <c r="GF18" s="315"/>
      <c r="GG18" s="315"/>
      <c r="GH18" s="315"/>
      <c r="GI18" s="315"/>
      <c r="GJ18" s="315"/>
      <c r="GK18" s="315"/>
      <c r="GL18" s="315"/>
      <c r="GM18" s="315"/>
      <c r="GN18" s="315"/>
      <c r="GO18" s="315"/>
      <c r="GP18" s="315"/>
      <c r="GQ18" s="315"/>
      <c r="GR18" s="315"/>
      <c r="GS18" s="315"/>
      <c r="GT18" s="315"/>
      <c r="GU18" s="315"/>
      <c r="GV18" s="315"/>
      <c r="GW18" s="315"/>
      <c r="GX18" s="315"/>
      <c r="GY18" s="315"/>
      <c r="GZ18" s="315"/>
      <c r="HA18" s="315"/>
      <c r="HB18" s="315"/>
      <c r="HC18" s="315"/>
      <c r="HD18" s="315"/>
      <c r="HE18" s="315"/>
      <c r="HF18" s="315"/>
      <c r="HG18" s="315"/>
      <c r="HH18" s="315"/>
      <c r="HI18" s="315"/>
      <c r="HJ18" s="315"/>
      <c r="HK18" s="315"/>
      <c r="HL18" s="315"/>
      <c r="HM18" s="315"/>
      <c r="HN18" s="315"/>
      <c r="HO18" s="315"/>
      <c r="HP18" s="315"/>
      <c r="HQ18" s="315"/>
      <c r="HR18" s="315"/>
      <c r="HS18" s="315"/>
      <c r="HT18" s="315"/>
      <c r="HU18" s="315"/>
      <c r="HV18" s="315"/>
      <c r="HW18" s="315"/>
      <c r="HX18" s="315"/>
      <c r="HY18" s="315"/>
      <c r="HZ18" s="315"/>
      <c r="IA18" s="315"/>
      <c r="IB18" s="315"/>
      <c r="IC18" s="315"/>
      <c r="ID18" s="315"/>
      <c r="IE18" s="315"/>
      <c r="IF18" s="315"/>
      <c r="IG18" s="315"/>
      <c r="IH18" s="315"/>
      <c r="II18" s="315"/>
      <c r="IJ18" s="315"/>
      <c r="IK18" s="315"/>
      <c r="IL18" s="315"/>
      <c r="IM18" s="315"/>
      <c r="IN18" s="315"/>
      <c r="IO18" s="315"/>
      <c r="IP18" s="315"/>
      <c r="IQ18" s="315"/>
    </row>
    <row r="19" s="289" customFormat="1" ht="34.5" customHeight="1" spans="1:251">
      <c r="A19" s="303" t="s">
        <v>154</v>
      </c>
      <c r="B19" s="303"/>
      <c r="C19" s="304">
        <v>8</v>
      </c>
      <c r="D19" s="305">
        <f>SUM('附表3-扣除项目分摊表'!K10)</f>
        <v>0</v>
      </c>
      <c r="E19" s="305"/>
      <c r="F19" s="305" t="str">
        <f>IF($H$6="三分法",SUM('附表3-扣除项目分摊表'!L10),"")</f>
        <v/>
      </c>
      <c r="G19" s="305"/>
      <c r="H19" s="305">
        <f>IF($H$6="三分法",SUM('附表3-扣除项目分摊表'!M10),SUM('附表3-扣除项目分摊表'!L10:M10))</f>
        <v>0</v>
      </c>
      <c r="I19" s="305"/>
      <c r="J19" s="305">
        <f t="shared" si="0"/>
        <v>0</v>
      </c>
      <c r="K19" s="305"/>
      <c r="L19" s="30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15"/>
      <c r="CE19" s="315"/>
      <c r="CF19" s="315"/>
      <c r="CG19" s="315"/>
      <c r="CH19" s="315"/>
      <c r="CI19" s="315"/>
      <c r="CJ19" s="315"/>
      <c r="CK19" s="315"/>
      <c r="CL19" s="315"/>
      <c r="CM19" s="315"/>
      <c r="CN19" s="315"/>
      <c r="CO19" s="315"/>
      <c r="CP19" s="315"/>
      <c r="CQ19" s="315"/>
      <c r="CR19" s="315"/>
      <c r="CS19" s="315"/>
      <c r="CT19" s="315"/>
      <c r="CU19" s="315"/>
      <c r="CV19" s="315"/>
      <c r="CW19" s="315"/>
      <c r="CX19" s="315"/>
      <c r="CY19" s="315"/>
      <c r="CZ19" s="315"/>
      <c r="DA19" s="315"/>
      <c r="DB19" s="315"/>
      <c r="DC19" s="315"/>
      <c r="DD19" s="315"/>
      <c r="DE19" s="315"/>
      <c r="DF19" s="315"/>
      <c r="DG19" s="315"/>
      <c r="DH19" s="315"/>
      <c r="DI19" s="315"/>
      <c r="DJ19" s="315"/>
      <c r="DK19" s="315"/>
      <c r="DL19" s="315"/>
      <c r="DM19" s="315"/>
      <c r="DN19" s="315"/>
      <c r="DO19" s="315"/>
      <c r="DP19" s="315"/>
      <c r="DQ19" s="315"/>
      <c r="DR19" s="315"/>
      <c r="DS19" s="315"/>
      <c r="DT19" s="315"/>
      <c r="DU19" s="315"/>
      <c r="DV19" s="315"/>
      <c r="DW19" s="315"/>
      <c r="DX19" s="315"/>
      <c r="DY19" s="315"/>
      <c r="DZ19" s="315"/>
      <c r="EA19" s="315"/>
      <c r="EB19" s="315"/>
      <c r="EC19" s="315"/>
      <c r="ED19" s="315"/>
      <c r="EE19" s="315"/>
      <c r="EF19" s="315"/>
      <c r="EG19" s="315"/>
      <c r="EH19" s="315"/>
      <c r="EI19" s="315"/>
      <c r="EJ19" s="315"/>
      <c r="EK19" s="315"/>
      <c r="EL19" s="315"/>
      <c r="EM19" s="315"/>
      <c r="EN19" s="315"/>
      <c r="EO19" s="315"/>
      <c r="EP19" s="315"/>
      <c r="EQ19" s="315"/>
      <c r="ER19" s="315"/>
      <c r="ES19" s="315"/>
      <c r="ET19" s="315"/>
      <c r="EU19" s="315"/>
      <c r="EV19" s="315"/>
      <c r="EW19" s="315"/>
      <c r="EX19" s="315"/>
      <c r="EY19" s="315"/>
      <c r="EZ19" s="315"/>
      <c r="FA19" s="315"/>
      <c r="FB19" s="315"/>
      <c r="FC19" s="315"/>
      <c r="FD19" s="315"/>
      <c r="FE19" s="315"/>
      <c r="FF19" s="315"/>
      <c r="FG19" s="315"/>
      <c r="FH19" s="315"/>
      <c r="FI19" s="315"/>
      <c r="FJ19" s="315"/>
      <c r="FK19" s="315"/>
      <c r="FL19" s="315"/>
      <c r="FM19" s="315"/>
      <c r="FN19" s="315"/>
      <c r="FO19" s="315"/>
      <c r="FP19" s="315"/>
      <c r="FQ19" s="315"/>
      <c r="FR19" s="315"/>
      <c r="FS19" s="315"/>
      <c r="FT19" s="315"/>
      <c r="FU19" s="315"/>
      <c r="FV19" s="315"/>
      <c r="FW19" s="315"/>
      <c r="FX19" s="315"/>
      <c r="FY19" s="315"/>
      <c r="FZ19" s="315"/>
      <c r="GA19" s="315"/>
      <c r="GB19" s="315"/>
      <c r="GC19" s="315"/>
      <c r="GD19" s="315"/>
      <c r="GE19" s="315"/>
      <c r="GF19" s="315"/>
      <c r="GG19" s="315"/>
      <c r="GH19" s="315"/>
      <c r="GI19" s="315"/>
      <c r="GJ19" s="315"/>
      <c r="GK19" s="315"/>
      <c r="GL19" s="315"/>
      <c r="GM19" s="315"/>
      <c r="GN19" s="315"/>
      <c r="GO19" s="315"/>
      <c r="GP19" s="315"/>
      <c r="GQ19" s="315"/>
      <c r="GR19" s="315"/>
      <c r="GS19" s="315"/>
      <c r="GT19" s="315"/>
      <c r="GU19" s="315"/>
      <c r="GV19" s="315"/>
      <c r="GW19" s="315"/>
      <c r="GX19" s="315"/>
      <c r="GY19" s="315"/>
      <c r="GZ19" s="315"/>
      <c r="HA19" s="315"/>
      <c r="HB19" s="315"/>
      <c r="HC19" s="315"/>
      <c r="HD19" s="315"/>
      <c r="HE19" s="315"/>
      <c r="HF19" s="315"/>
      <c r="HG19" s="315"/>
      <c r="HH19" s="315"/>
      <c r="HI19" s="315"/>
      <c r="HJ19" s="315"/>
      <c r="HK19" s="315"/>
      <c r="HL19" s="315"/>
      <c r="HM19" s="315"/>
      <c r="HN19" s="315"/>
      <c r="HO19" s="315"/>
      <c r="HP19" s="315"/>
      <c r="HQ19" s="315"/>
      <c r="HR19" s="315"/>
      <c r="HS19" s="315"/>
      <c r="HT19" s="315"/>
      <c r="HU19" s="315"/>
      <c r="HV19" s="315"/>
      <c r="HW19" s="315"/>
      <c r="HX19" s="315"/>
      <c r="HY19" s="315"/>
      <c r="HZ19" s="315"/>
      <c r="IA19" s="315"/>
      <c r="IB19" s="315"/>
      <c r="IC19" s="315"/>
      <c r="ID19" s="315"/>
      <c r="IE19" s="315"/>
      <c r="IF19" s="315"/>
      <c r="IG19" s="315"/>
      <c r="IH19" s="315"/>
      <c r="II19" s="315"/>
      <c r="IJ19" s="315"/>
      <c r="IK19" s="315"/>
      <c r="IL19" s="315"/>
      <c r="IM19" s="315"/>
      <c r="IN19" s="315"/>
      <c r="IO19" s="315"/>
      <c r="IP19" s="315"/>
      <c r="IQ19" s="315"/>
    </row>
    <row r="20" s="289" customFormat="1" ht="34.5" customHeight="1" spans="1:251">
      <c r="A20" s="303" t="s">
        <v>155</v>
      </c>
      <c r="B20" s="303"/>
      <c r="C20" s="304">
        <v>9</v>
      </c>
      <c r="D20" s="305">
        <f>SUM('附表3-扣除项目分摊表'!K11)</f>
        <v>0</v>
      </c>
      <c r="E20" s="305"/>
      <c r="F20" s="305" t="str">
        <f>IF($H$6="三分法",SUM('附表3-扣除项目分摊表'!L11),"")</f>
        <v/>
      </c>
      <c r="G20" s="305"/>
      <c r="H20" s="305">
        <f>IF($H$6="三分法",SUM('附表3-扣除项目分摊表'!M11),SUM('附表3-扣除项目分摊表'!L11:M11))</f>
        <v>0</v>
      </c>
      <c r="I20" s="305"/>
      <c r="J20" s="305">
        <f t="shared" si="0"/>
        <v>0</v>
      </c>
      <c r="K20" s="305"/>
      <c r="L20" s="30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15"/>
      <c r="CE20" s="315"/>
      <c r="CF20" s="315"/>
      <c r="CG20" s="315"/>
      <c r="CH20" s="315"/>
      <c r="CI20" s="315"/>
      <c r="CJ20" s="315"/>
      <c r="CK20" s="315"/>
      <c r="CL20" s="315"/>
      <c r="CM20" s="315"/>
      <c r="CN20" s="315"/>
      <c r="CO20" s="315"/>
      <c r="CP20" s="315"/>
      <c r="CQ20" s="315"/>
      <c r="CR20" s="315"/>
      <c r="CS20" s="315"/>
      <c r="CT20" s="315"/>
      <c r="CU20" s="315"/>
      <c r="CV20" s="315"/>
      <c r="CW20" s="315"/>
      <c r="CX20" s="315"/>
      <c r="CY20" s="315"/>
      <c r="CZ20" s="315"/>
      <c r="DA20" s="315"/>
      <c r="DB20" s="315"/>
      <c r="DC20" s="315"/>
      <c r="DD20" s="315"/>
      <c r="DE20" s="315"/>
      <c r="DF20" s="315"/>
      <c r="DG20" s="315"/>
      <c r="DH20" s="315"/>
      <c r="DI20" s="315"/>
      <c r="DJ20" s="315"/>
      <c r="DK20" s="315"/>
      <c r="DL20" s="315"/>
      <c r="DM20" s="315"/>
      <c r="DN20" s="315"/>
      <c r="DO20" s="315"/>
      <c r="DP20" s="315"/>
      <c r="DQ20" s="315"/>
      <c r="DR20" s="315"/>
      <c r="DS20" s="315"/>
      <c r="DT20" s="315"/>
      <c r="DU20" s="315"/>
      <c r="DV20" s="315"/>
      <c r="DW20" s="315"/>
      <c r="DX20" s="315"/>
      <c r="DY20" s="315"/>
      <c r="DZ20" s="315"/>
      <c r="EA20" s="315"/>
      <c r="EB20" s="315"/>
      <c r="EC20" s="315"/>
      <c r="ED20" s="315"/>
      <c r="EE20" s="315"/>
      <c r="EF20" s="315"/>
      <c r="EG20" s="315"/>
      <c r="EH20" s="315"/>
      <c r="EI20" s="315"/>
      <c r="EJ20" s="315"/>
      <c r="EK20" s="315"/>
      <c r="EL20" s="315"/>
      <c r="EM20" s="315"/>
      <c r="EN20" s="315"/>
      <c r="EO20" s="315"/>
      <c r="EP20" s="315"/>
      <c r="EQ20" s="315"/>
      <c r="ER20" s="315"/>
      <c r="ES20" s="315"/>
      <c r="ET20" s="315"/>
      <c r="EU20" s="315"/>
      <c r="EV20" s="315"/>
      <c r="EW20" s="315"/>
      <c r="EX20" s="315"/>
      <c r="EY20" s="315"/>
      <c r="EZ20" s="315"/>
      <c r="FA20" s="315"/>
      <c r="FB20" s="315"/>
      <c r="FC20" s="315"/>
      <c r="FD20" s="315"/>
      <c r="FE20" s="315"/>
      <c r="FF20" s="315"/>
      <c r="FG20" s="315"/>
      <c r="FH20" s="315"/>
      <c r="FI20" s="315"/>
      <c r="FJ20" s="315"/>
      <c r="FK20" s="315"/>
      <c r="FL20" s="315"/>
      <c r="FM20" s="315"/>
      <c r="FN20" s="315"/>
      <c r="FO20" s="315"/>
      <c r="FP20" s="315"/>
      <c r="FQ20" s="315"/>
      <c r="FR20" s="315"/>
      <c r="FS20" s="315"/>
      <c r="FT20" s="315"/>
      <c r="FU20" s="315"/>
      <c r="FV20" s="315"/>
      <c r="FW20" s="315"/>
      <c r="FX20" s="315"/>
      <c r="FY20" s="315"/>
      <c r="FZ20" s="315"/>
      <c r="GA20" s="315"/>
      <c r="GB20" s="315"/>
      <c r="GC20" s="315"/>
      <c r="GD20" s="315"/>
      <c r="GE20" s="315"/>
      <c r="GF20" s="315"/>
      <c r="GG20" s="315"/>
      <c r="GH20" s="315"/>
      <c r="GI20" s="315"/>
      <c r="GJ20" s="315"/>
      <c r="GK20" s="315"/>
      <c r="GL20" s="315"/>
      <c r="GM20" s="315"/>
      <c r="GN20" s="315"/>
      <c r="GO20" s="315"/>
      <c r="GP20" s="315"/>
      <c r="GQ20" s="315"/>
      <c r="GR20" s="315"/>
      <c r="GS20" s="315"/>
      <c r="GT20" s="315"/>
      <c r="GU20" s="315"/>
      <c r="GV20" s="315"/>
      <c r="GW20" s="315"/>
      <c r="GX20" s="315"/>
      <c r="GY20" s="315"/>
      <c r="GZ20" s="315"/>
      <c r="HA20" s="315"/>
      <c r="HB20" s="315"/>
      <c r="HC20" s="315"/>
      <c r="HD20" s="315"/>
      <c r="HE20" s="315"/>
      <c r="HF20" s="315"/>
      <c r="HG20" s="315"/>
      <c r="HH20" s="315"/>
      <c r="HI20" s="315"/>
      <c r="HJ20" s="315"/>
      <c r="HK20" s="315"/>
      <c r="HL20" s="315"/>
      <c r="HM20" s="315"/>
      <c r="HN20" s="315"/>
      <c r="HO20" s="315"/>
      <c r="HP20" s="315"/>
      <c r="HQ20" s="315"/>
      <c r="HR20" s="315"/>
      <c r="HS20" s="315"/>
      <c r="HT20" s="315"/>
      <c r="HU20" s="315"/>
      <c r="HV20" s="315"/>
      <c r="HW20" s="315"/>
      <c r="HX20" s="315"/>
      <c r="HY20" s="315"/>
      <c r="HZ20" s="315"/>
      <c r="IA20" s="315"/>
      <c r="IB20" s="315"/>
      <c r="IC20" s="315"/>
      <c r="ID20" s="315"/>
      <c r="IE20" s="315"/>
      <c r="IF20" s="315"/>
      <c r="IG20" s="315"/>
      <c r="IH20" s="315"/>
      <c r="II20" s="315"/>
      <c r="IJ20" s="315"/>
      <c r="IK20" s="315"/>
      <c r="IL20" s="315"/>
      <c r="IM20" s="315"/>
      <c r="IN20" s="315"/>
      <c r="IO20" s="315"/>
      <c r="IP20" s="315"/>
      <c r="IQ20" s="315"/>
    </row>
    <row r="21" s="289" customFormat="1" ht="34.5" customHeight="1" spans="1:251">
      <c r="A21" s="303" t="s">
        <v>156</v>
      </c>
      <c r="B21" s="303"/>
      <c r="C21" s="304">
        <v>10</v>
      </c>
      <c r="D21" s="305">
        <f>SUM('附表3-扣除项目分摊表'!K12)</f>
        <v>0</v>
      </c>
      <c r="E21" s="305"/>
      <c r="F21" s="305" t="str">
        <f>IF($H$6="三分法",SUM('附表3-扣除项目分摊表'!L12),"")</f>
        <v/>
      </c>
      <c r="G21" s="305"/>
      <c r="H21" s="305">
        <f>IF($H$6="三分法",SUM('附表3-扣除项目分摊表'!M12),SUM('附表3-扣除项目分摊表'!L12:M12))</f>
        <v>0</v>
      </c>
      <c r="I21" s="305"/>
      <c r="J21" s="305">
        <f t="shared" si="0"/>
        <v>0</v>
      </c>
      <c r="K21" s="305"/>
      <c r="L21" s="30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315"/>
      <c r="CJ21" s="315"/>
      <c r="CK21" s="315"/>
      <c r="CL21" s="315"/>
      <c r="CM21" s="315"/>
      <c r="CN21" s="315"/>
      <c r="CO21" s="315"/>
      <c r="CP21" s="315"/>
      <c r="CQ21" s="315"/>
      <c r="CR21" s="315"/>
      <c r="CS21" s="315"/>
      <c r="CT21" s="315"/>
      <c r="CU21" s="315"/>
      <c r="CV21" s="315"/>
      <c r="CW21" s="315"/>
      <c r="CX21" s="315"/>
      <c r="CY21" s="315"/>
      <c r="CZ21" s="315"/>
      <c r="DA21" s="315"/>
      <c r="DB21" s="315"/>
      <c r="DC21" s="315"/>
      <c r="DD21" s="315"/>
      <c r="DE21" s="315"/>
      <c r="DF21" s="315"/>
      <c r="DG21" s="315"/>
      <c r="DH21" s="315"/>
      <c r="DI21" s="315"/>
      <c r="DJ21" s="315"/>
      <c r="DK21" s="315"/>
      <c r="DL21" s="315"/>
      <c r="DM21" s="315"/>
      <c r="DN21" s="315"/>
      <c r="DO21" s="315"/>
      <c r="DP21" s="315"/>
      <c r="DQ21" s="315"/>
      <c r="DR21" s="315"/>
      <c r="DS21" s="315"/>
      <c r="DT21" s="315"/>
      <c r="DU21" s="315"/>
      <c r="DV21" s="315"/>
      <c r="DW21" s="315"/>
      <c r="DX21" s="315"/>
      <c r="DY21" s="315"/>
      <c r="DZ21" s="315"/>
      <c r="EA21" s="315"/>
      <c r="EB21" s="315"/>
      <c r="EC21" s="315"/>
      <c r="ED21" s="315"/>
      <c r="EE21" s="315"/>
      <c r="EF21" s="315"/>
      <c r="EG21" s="315"/>
      <c r="EH21" s="315"/>
      <c r="EI21" s="315"/>
      <c r="EJ21" s="315"/>
      <c r="EK21" s="315"/>
      <c r="EL21" s="315"/>
      <c r="EM21" s="315"/>
      <c r="EN21" s="315"/>
      <c r="EO21" s="315"/>
      <c r="EP21" s="315"/>
      <c r="EQ21" s="315"/>
      <c r="ER21" s="315"/>
      <c r="ES21" s="315"/>
      <c r="ET21" s="315"/>
      <c r="EU21" s="315"/>
      <c r="EV21" s="315"/>
      <c r="EW21" s="315"/>
      <c r="EX21" s="315"/>
      <c r="EY21" s="315"/>
      <c r="EZ21" s="315"/>
      <c r="FA21" s="315"/>
      <c r="FB21" s="315"/>
      <c r="FC21" s="315"/>
      <c r="FD21" s="315"/>
      <c r="FE21" s="315"/>
      <c r="FF21" s="315"/>
      <c r="FG21" s="315"/>
      <c r="FH21" s="315"/>
      <c r="FI21" s="315"/>
      <c r="FJ21" s="315"/>
      <c r="FK21" s="315"/>
      <c r="FL21" s="315"/>
      <c r="FM21" s="315"/>
      <c r="FN21" s="315"/>
      <c r="FO21" s="315"/>
      <c r="FP21" s="315"/>
      <c r="FQ21" s="315"/>
      <c r="FR21" s="315"/>
      <c r="FS21" s="315"/>
      <c r="FT21" s="315"/>
      <c r="FU21" s="315"/>
      <c r="FV21" s="315"/>
      <c r="FW21" s="315"/>
      <c r="FX21" s="315"/>
      <c r="FY21" s="315"/>
      <c r="FZ21" s="315"/>
      <c r="GA21" s="315"/>
      <c r="GB21" s="315"/>
      <c r="GC21" s="315"/>
      <c r="GD21" s="315"/>
      <c r="GE21" s="315"/>
      <c r="GF21" s="315"/>
      <c r="GG21" s="315"/>
      <c r="GH21" s="315"/>
      <c r="GI21" s="315"/>
      <c r="GJ21" s="315"/>
      <c r="GK21" s="315"/>
      <c r="GL21" s="315"/>
      <c r="GM21" s="315"/>
      <c r="GN21" s="315"/>
      <c r="GO21" s="315"/>
      <c r="GP21" s="315"/>
      <c r="GQ21" s="315"/>
      <c r="GR21" s="315"/>
      <c r="GS21" s="315"/>
      <c r="GT21" s="315"/>
      <c r="GU21" s="315"/>
      <c r="GV21" s="315"/>
      <c r="GW21" s="315"/>
      <c r="GX21" s="315"/>
      <c r="GY21" s="315"/>
      <c r="GZ21" s="315"/>
      <c r="HA21" s="315"/>
      <c r="HB21" s="315"/>
      <c r="HC21" s="315"/>
      <c r="HD21" s="315"/>
      <c r="HE21" s="315"/>
      <c r="HF21" s="315"/>
      <c r="HG21" s="315"/>
      <c r="HH21" s="315"/>
      <c r="HI21" s="315"/>
      <c r="HJ21" s="315"/>
      <c r="HK21" s="315"/>
      <c r="HL21" s="315"/>
      <c r="HM21" s="315"/>
      <c r="HN21" s="315"/>
      <c r="HO21" s="315"/>
      <c r="HP21" s="315"/>
      <c r="HQ21" s="315"/>
      <c r="HR21" s="315"/>
      <c r="HS21" s="315"/>
      <c r="HT21" s="315"/>
      <c r="HU21" s="315"/>
      <c r="HV21" s="315"/>
      <c r="HW21" s="315"/>
      <c r="HX21" s="315"/>
      <c r="HY21" s="315"/>
      <c r="HZ21" s="315"/>
      <c r="IA21" s="315"/>
      <c r="IB21" s="315"/>
      <c r="IC21" s="315"/>
      <c r="ID21" s="315"/>
      <c r="IE21" s="315"/>
      <c r="IF21" s="315"/>
      <c r="IG21" s="315"/>
      <c r="IH21" s="315"/>
      <c r="II21" s="315"/>
      <c r="IJ21" s="315"/>
      <c r="IK21" s="315"/>
      <c r="IL21" s="315"/>
      <c r="IM21" s="315"/>
      <c r="IN21" s="315"/>
      <c r="IO21" s="315"/>
      <c r="IP21" s="315"/>
      <c r="IQ21" s="315"/>
    </row>
    <row r="22" s="289" customFormat="1" ht="34.5" customHeight="1" spans="1:251">
      <c r="A22" s="303" t="s">
        <v>157</v>
      </c>
      <c r="B22" s="303"/>
      <c r="C22" s="304">
        <v>11</v>
      </c>
      <c r="D22" s="305">
        <f>SUM('附表3-扣除项目分摊表'!K13)</f>
        <v>0</v>
      </c>
      <c r="E22" s="305"/>
      <c r="F22" s="305" t="str">
        <f>IF($H$6="三分法",SUM('附表3-扣除项目分摊表'!L13),"")</f>
        <v/>
      </c>
      <c r="G22" s="305"/>
      <c r="H22" s="305">
        <f>IF($H$6="三分法",SUM('附表3-扣除项目分摊表'!M13),SUM('附表3-扣除项目分摊表'!L13:M13))</f>
        <v>0</v>
      </c>
      <c r="I22" s="305"/>
      <c r="J22" s="305">
        <f t="shared" si="0"/>
        <v>0</v>
      </c>
      <c r="K22" s="305"/>
      <c r="L22" s="30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315"/>
      <c r="CJ22" s="315"/>
      <c r="CK22" s="315"/>
      <c r="CL22" s="315"/>
      <c r="CM22" s="315"/>
      <c r="CN22" s="315"/>
      <c r="CO22" s="315"/>
      <c r="CP22" s="315"/>
      <c r="CQ22" s="315"/>
      <c r="CR22" s="315"/>
      <c r="CS22" s="315"/>
      <c r="CT22" s="315"/>
      <c r="CU22" s="315"/>
      <c r="CV22" s="315"/>
      <c r="CW22" s="315"/>
      <c r="CX22" s="315"/>
      <c r="CY22" s="315"/>
      <c r="CZ22" s="315"/>
      <c r="DA22" s="315"/>
      <c r="DB22" s="315"/>
      <c r="DC22" s="315"/>
      <c r="DD22" s="315"/>
      <c r="DE22" s="315"/>
      <c r="DF22" s="315"/>
      <c r="DG22" s="315"/>
      <c r="DH22" s="315"/>
      <c r="DI22" s="315"/>
      <c r="DJ22" s="315"/>
      <c r="DK22" s="315"/>
      <c r="DL22" s="315"/>
      <c r="DM22" s="315"/>
      <c r="DN22" s="315"/>
      <c r="DO22" s="315"/>
      <c r="DP22" s="315"/>
      <c r="DQ22" s="315"/>
      <c r="DR22" s="315"/>
      <c r="DS22" s="315"/>
      <c r="DT22" s="315"/>
      <c r="DU22" s="315"/>
      <c r="DV22" s="315"/>
      <c r="DW22" s="315"/>
      <c r="DX22" s="315"/>
      <c r="DY22" s="315"/>
      <c r="DZ22" s="315"/>
      <c r="EA22" s="315"/>
      <c r="EB22" s="315"/>
      <c r="EC22" s="315"/>
      <c r="ED22" s="315"/>
      <c r="EE22" s="315"/>
      <c r="EF22" s="315"/>
      <c r="EG22" s="315"/>
      <c r="EH22" s="315"/>
      <c r="EI22" s="315"/>
      <c r="EJ22" s="315"/>
      <c r="EK22" s="315"/>
      <c r="EL22" s="315"/>
      <c r="EM22" s="315"/>
      <c r="EN22" s="315"/>
      <c r="EO22" s="315"/>
      <c r="EP22" s="315"/>
      <c r="EQ22" s="315"/>
      <c r="ER22" s="315"/>
      <c r="ES22" s="315"/>
      <c r="ET22" s="315"/>
      <c r="EU22" s="315"/>
      <c r="EV22" s="315"/>
      <c r="EW22" s="315"/>
      <c r="EX22" s="315"/>
      <c r="EY22" s="315"/>
      <c r="EZ22" s="315"/>
      <c r="FA22" s="315"/>
      <c r="FB22" s="315"/>
      <c r="FC22" s="315"/>
      <c r="FD22" s="315"/>
      <c r="FE22" s="315"/>
      <c r="FF22" s="315"/>
      <c r="FG22" s="315"/>
      <c r="FH22" s="315"/>
      <c r="FI22" s="315"/>
      <c r="FJ22" s="315"/>
      <c r="FK22" s="315"/>
      <c r="FL22" s="315"/>
      <c r="FM22" s="315"/>
      <c r="FN22" s="315"/>
      <c r="FO22" s="315"/>
      <c r="FP22" s="315"/>
      <c r="FQ22" s="315"/>
      <c r="FR22" s="315"/>
      <c r="FS22" s="315"/>
      <c r="FT22" s="315"/>
      <c r="FU22" s="315"/>
      <c r="FV22" s="315"/>
      <c r="FW22" s="315"/>
      <c r="FX22" s="315"/>
      <c r="FY22" s="315"/>
      <c r="FZ22" s="315"/>
      <c r="GA22" s="315"/>
      <c r="GB22" s="315"/>
      <c r="GC22" s="315"/>
      <c r="GD22" s="315"/>
      <c r="GE22" s="315"/>
      <c r="GF22" s="315"/>
      <c r="GG22" s="315"/>
      <c r="GH22" s="315"/>
      <c r="GI22" s="315"/>
      <c r="GJ22" s="315"/>
      <c r="GK22" s="315"/>
      <c r="GL22" s="315"/>
      <c r="GM22" s="315"/>
      <c r="GN22" s="315"/>
      <c r="GO22" s="315"/>
      <c r="GP22" s="315"/>
      <c r="GQ22" s="315"/>
      <c r="GR22" s="315"/>
      <c r="GS22" s="315"/>
      <c r="GT22" s="315"/>
      <c r="GU22" s="315"/>
      <c r="GV22" s="315"/>
      <c r="GW22" s="315"/>
      <c r="GX22" s="315"/>
      <c r="GY22" s="315"/>
      <c r="GZ22" s="315"/>
      <c r="HA22" s="315"/>
      <c r="HB22" s="315"/>
      <c r="HC22" s="315"/>
      <c r="HD22" s="315"/>
      <c r="HE22" s="315"/>
      <c r="HF22" s="315"/>
      <c r="HG22" s="315"/>
      <c r="HH22" s="315"/>
      <c r="HI22" s="315"/>
      <c r="HJ22" s="315"/>
      <c r="HK22" s="315"/>
      <c r="HL22" s="315"/>
      <c r="HM22" s="315"/>
      <c r="HN22" s="315"/>
      <c r="HO22" s="315"/>
      <c r="HP22" s="315"/>
      <c r="HQ22" s="315"/>
      <c r="HR22" s="315"/>
      <c r="HS22" s="315"/>
      <c r="HT22" s="315"/>
      <c r="HU22" s="315"/>
      <c r="HV22" s="315"/>
      <c r="HW22" s="315"/>
      <c r="HX22" s="315"/>
      <c r="HY22" s="315"/>
      <c r="HZ22" s="315"/>
      <c r="IA22" s="315"/>
      <c r="IB22" s="315"/>
      <c r="IC22" s="315"/>
      <c r="ID22" s="315"/>
      <c r="IE22" s="315"/>
      <c r="IF22" s="315"/>
      <c r="IG22" s="315"/>
      <c r="IH22" s="315"/>
      <c r="II22" s="315"/>
      <c r="IJ22" s="315"/>
      <c r="IK22" s="315"/>
      <c r="IL22" s="315"/>
      <c r="IM22" s="315"/>
      <c r="IN22" s="315"/>
      <c r="IO22" s="315"/>
      <c r="IP22" s="315"/>
      <c r="IQ22" s="315"/>
    </row>
    <row r="23" s="289" customFormat="1" ht="34.5" customHeight="1" spans="1:251">
      <c r="A23" s="303" t="s">
        <v>158</v>
      </c>
      <c r="B23" s="303"/>
      <c r="C23" s="304">
        <v>12</v>
      </c>
      <c r="D23" s="305">
        <f>SUM('附表3-扣除项目分摊表'!K14)</f>
        <v>0</v>
      </c>
      <c r="E23" s="305"/>
      <c r="F23" s="305" t="str">
        <f>IF($H$6="三分法",SUM('附表3-扣除项目分摊表'!L14),"")</f>
        <v/>
      </c>
      <c r="G23" s="305"/>
      <c r="H23" s="305">
        <f>IF($H$6="三分法",SUM('附表3-扣除项目分摊表'!M14),SUM('附表3-扣除项目分摊表'!L14:M14))</f>
        <v>0</v>
      </c>
      <c r="I23" s="305"/>
      <c r="J23" s="305">
        <f t="shared" si="0"/>
        <v>0</v>
      </c>
      <c r="K23" s="305"/>
      <c r="L23" s="30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315"/>
      <c r="CJ23" s="315"/>
      <c r="CK23" s="315"/>
      <c r="CL23" s="315"/>
      <c r="CM23" s="315"/>
      <c r="CN23" s="315"/>
      <c r="CO23" s="315"/>
      <c r="CP23" s="315"/>
      <c r="CQ23" s="315"/>
      <c r="CR23" s="315"/>
      <c r="CS23" s="315"/>
      <c r="CT23" s="315"/>
      <c r="CU23" s="315"/>
      <c r="CV23" s="315"/>
      <c r="CW23" s="315"/>
      <c r="CX23" s="315"/>
      <c r="CY23" s="315"/>
      <c r="CZ23" s="315"/>
      <c r="DA23" s="315"/>
      <c r="DB23" s="315"/>
      <c r="DC23" s="315"/>
      <c r="DD23" s="315"/>
      <c r="DE23" s="315"/>
      <c r="DF23" s="315"/>
      <c r="DG23" s="315"/>
      <c r="DH23" s="315"/>
      <c r="DI23" s="315"/>
      <c r="DJ23" s="315"/>
      <c r="DK23" s="315"/>
      <c r="DL23" s="315"/>
      <c r="DM23" s="315"/>
      <c r="DN23" s="315"/>
      <c r="DO23" s="315"/>
      <c r="DP23" s="315"/>
      <c r="DQ23" s="315"/>
      <c r="DR23" s="315"/>
      <c r="DS23" s="315"/>
      <c r="DT23" s="315"/>
      <c r="DU23" s="315"/>
      <c r="DV23" s="315"/>
      <c r="DW23" s="315"/>
      <c r="DX23" s="315"/>
      <c r="DY23" s="315"/>
      <c r="DZ23" s="315"/>
      <c r="EA23" s="315"/>
      <c r="EB23" s="315"/>
      <c r="EC23" s="315"/>
      <c r="ED23" s="315"/>
      <c r="EE23" s="315"/>
      <c r="EF23" s="315"/>
      <c r="EG23" s="315"/>
      <c r="EH23" s="315"/>
      <c r="EI23" s="315"/>
      <c r="EJ23" s="315"/>
      <c r="EK23" s="315"/>
      <c r="EL23" s="315"/>
      <c r="EM23" s="315"/>
      <c r="EN23" s="315"/>
      <c r="EO23" s="315"/>
      <c r="EP23" s="315"/>
      <c r="EQ23" s="315"/>
      <c r="ER23" s="315"/>
      <c r="ES23" s="315"/>
      <c r="ET23" s="315"/>
      <c r="EU23" s="315"/>
      <c r="EV23" s="315"/>
      <c r="EW23" s="315"/>
      <c r="EX23" s="315"/>
      <c r="EY23" s="315"/>
      <c r="EZ23" s="315"/>
      <c r="FA23" s="315"/>
      <c r="FB23" s="315"/>
      <c r="FC23" s="315"/>
      <c r="FD23" s="315"/>
      <c r="FE23" s="315"/>
      <c r="FF23" s="315"/>
      <c r="FG23" s="315"/>
      <c r="FH23" s="315"/>
      <c r="FI23" s="315"/>
      <c r="FJ23" s="315"/>
      <c r="FK23" s="315"/>
      <c r="FL23" s="315"/>
      <c r="FM23" s="315"/>
      <c r="FN23" s="315"/>
      <c r="FO23" s="315"/>
      <c r="FP23" s="315"/>
      <c r="FQ23" s="315"/>
      <c r="FR23" s="315"/>
      <c r="FS23" s="315"/>
      <c r="FT23" s="315"/>
      <c r="FU23" s="315"/>
      <c r="FV23" s="315"/>
      <c r="FW23" s="315"/>
      <c r="FX23" s="315"/>
      <c r="FY23" s="315"/>
      <c r="FZ23" s="315"/>
      <c r="GA23" s="315"/>
      <c r="GB23" s="315"/>
      <c r="GC23" s="315"/>
      <c r="GD23" s="315"/>
      <c r="GE23" s="315"/>
      <c r="GF23" s="315"/>
      <c r="GG23" s="315"/>
      <c r="GH23" s="315"/>
      <c r="GI23" s="315"/>
      <c r="GJ23" s="315"/>
      <c r="GK23" s="315"/>
      <c r="GL23" s="315"/>
      <c r="GM23" s="315"/>
      <c r="GN23" s="315"/>
      <c r="GO23" s="315"/>
      <c r="GP23" s="315"/>
      <c r="GQ23" s="315"/>
      <c r="GR23" s="315"/>
      <c r="GS23" s="315"/>
      <c r="GT23" s="315"/>
      <c r="GU23" s="315"/>
      <c r="GV23" s="315"/>
      <c r="GW23" s="315"/>
      <c r="GX23" s="315"/>
      <c r="GY23" s="315"/>
      <c r="GZ23" s="315"/>
      <c r="HA23" s="315"/>
      <c r="HB23" s="315"/>
      <c r="HC23" s="315"/>
      <c r="HD23" s="315"/>
      <c r="HE23" s="315"/>
      <c r="HF23" s="315"/>
      <c r="HG23" s="315"/>
      <c r="HH23" s="315"/>
      <c r="HI23" s="315"/>
      <c r="HJ23" s="315"/>
      <c r="HK23" s="315"/>
      <c r="HL23" s="315"/>
      <c r="HM23" s="315"/>
      <c r="HN23" s="315"/>
      <c r="HO23" s="315"/>
      <c r="HP23" s="315"/>
      <c r="HQ23" s="315"/>
      <c r="HR23" s="315"/>
      <c r="HS23" s="315"/>
      <c r="HT23" s="315"/>
      <c r="HU23" s="315"/>
      <c r="HV23" s="315"/>
      <c r="HW23" s="315"/>
      <c r="HX23" s="315"/>
      <c r="HY23" s="315"/>
      <c r="HZ23" s="315"/>
      <c r="IA23" s="315"/>
      <c r="IB23" s="315"/>
      <c r="IC23" s="315"/>
      <c r="ID23" s="315"/>
      <c r="IE23" s="315"/>
      <c r="IF23" s="315"/>
      <c r="IG23" s="315"/>
      <c r="IH23" s="315"/>
      <c r="II23" s="315"/>
      <c r="IJ23" s="315"/>
      <c r="IK23" s="315"/>
      <c r="IL23" s="315"/>
      <c r="IM23" s="315"/>
      <c r="IN23" s="315"/>
      <c r="IO23" s="315"/>
      <c r="IP23" s="315"/>
      <c r="IQ23" s="315"/>
    </row>
    <row r="24" s="289" customFormat="1" ht="34.5" customHeight="1" spans="1:251">
      <c r="A24" s="303" t="s">
        <v>159</v>
      </c>
      <c r="B24" s="303"/>
      <c r="C24" s="304">
        <v>13</v>
      </c>
      <c r="D24" s="305">
        <f>SUM('附表3-扣除项目分摊表'!K15)</f>
        <v>0</v>
      </c>
      <c r="E24" s="305"/>
      <c r="F24" s="305" t="str">
        <f>IF($H$6="三分法",SUM('附表3-扣除项目分摊表'!L15),"")</f>
        <v/>
      </c>
      <c r="G24" s="305"/>
      <c r="H24" s="305">
        <f>IF($H$6="三分法",SUM('附表3-扣除项目分摊表'!M15),SUM('附表3-扣除项目分摊表'!L15:M15))</f>
        <v>0</v>
      </c>
      <c r="I24" s="305"/>
      <c r="J24" s="305">
        <f t="shared" si="0"/>
        <v>0</v>
      </c>
      <c r="K24" s="305"/>
      <c r="L24" s="30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315"/>
      <c r="CJ24" s="315"/>
      <c r="CK24" s="315"/>
      <c r="CL24" s="315"/>
      <c r="CM24" s="315"/>
      <c r="CN24" s="315"/>
      <c r="CO24" s="315"/>
      <c r="CP24" s="315"/>
      <c r="CQ24" s="315"/>
      <c r="CR24" s="315"/>
      <c r="CS24" s="315"/>
      <c r="CT24" s="315"/>
      <c r="CU24" s="315"/>
      <c r="CV24" s="315"/>
      <c r="CW24" s="315"/>
      <c r="CX24" s="315"/>
      <c r="CY24" s="315"/>
      <c r="CZ24" s="315"/>
      <c r="DA24" s="315"/>
      <c r="DB24" s="315"/>
      <c r="DC24" s="315"/>
      <c r="DD24" s="315"/>
      <c r="DE24" s="315"/>
      <c r="DF24" s="315"/>
      <c r="DG24" s="315"/>
      <c r="DH24" s="315"/>
      <c r="DI24" s="315"/>
      <c r="DJ24" s="315"/>
      <c r="DK24" s="315"/>
      <c r="DL24" s="315"/>
      <c r="DM24" s="315"/>
      <c r="DN24" s="315"/>
      <c r="DO24" s="315"/>
      <c r="DP24" s="315"/>
      <c r="DQ24" s="315"/>
      <c r="DR24" s="315"/>
      <c r="DS24" s="315"/>
      <c r="DT24" s="315"/>
      <c r="DU24" s="315"/>
      <c r="DV24" s="315"/>
      <c r="DW24" s="315"/>
      <c r="DX24" s="315"/>
      <c r="DY24" s="315"/>
      <c r="DZ24" s="315"/>
      <c r="EA24" s="315"/>
      <c r="EB24" s="315"/>
      <c r="EC24" s="315"/>
      <c r="ED24" s="315"/>
      <c r="EE24" s="315"/>
      <c r="EF24" s="315"/>
      <c r="EG24" s="315"/>
      <c r="EH24" s="315"/>
      <c r="EI24" s="315"/>
      <c r="EJ24" s="315"/>
      <c r="EK24" s="315"/>
      <c r="EL24" s="315"/>
      <c r="EM24" s="315"/>
      <c r="EN24" s="315"/>
      <c r="EO24" s="315"/>
      <c r="EP24" s="315"/>
      <c r="EQ24" s="315"/>
      <c r="ER24" s="315"/>
      <c r="ES24" s="315"/>
      <c r="ET24" s="315"/>
      <c r="EU24" s="315"/>
      <c r="EV24" s="315"/>
      <c r="EW24" s="315"/>
      <c r="EX24" s="315"/>
      <c r="EY24" s="315"/>
      <c r="EZ24" s="315"/>
      <c r="FA24" s="315"/>
      <c r="FB24" s="315"/>
      <c r="FC24" s="315"/>
      <c r="FD24" s="315"/>
      <c r="FE24" s="315"/>
      <c r="FF24" s="315"/>
      <c r="FG24" s="315"/>
      <c r="FH24" s="315"/>
      <c r="FI24" s="315"/>
      <c r="FJ24" s="315"/>
      <c r="FK24" s="315"/>
      <c r="FL24" s="315"/>
      <c r="FM24" s="315"/>
      <c r="FN24" s="315"/>
      <c r="FO24" s="315"/>
      <c r="FP24" s="315"/>
      <c r="FQ24" s="315"/>
      <c r="FR24" s="315"/>
      <c r="FS24" s="315"/>
      <c r="FT24" s="315"/>
      <c r="FU24" s="315"/>
      <c r="FV24" s="315"/>
      <c r="FW24" s="315"/>
      <c r="FX24" s="315"/>
      <c r="FY24" s="315"/>
      <c r="FZ24" s="315"/>
      <c r="GA24" s="315"/>
      <c r="GB24" s="315"/>
      <c r="GC24" s="315"/>
      <c r="GD24" s="315"/>
      <c r="GE24" s="315"/>
      <c r="GF24" s="315"/>
      <c r="GG24" s="315"/>
      <c r="GH24" s="315"/>
      <c r="GI24" s="315"/>
      <c r="GJ24" s="315"/>
      <c r="GK24" s="315"/>
      <c r="GL24" s="315"/>
      <c r="GM24" s="315"/>
      <c r="GN24" s="315"/>
      <c r="GO24" s="315"/>
      <c r="GP24" s="315"/>
      <c r="GQ24" s="315"/>
      <c r="GR24" s="315"/>
      <c r="GS24" s="315"/>
      <c r="GT24" s="315"/>
      <c r="GU24" s="315"/>
      <c r="GV24" s="315"/>
      <c r="GW24" s="315"/>
      <c r="GX24" s="315"/>
      <c r="GY24" s="315"/>
      <c r="GZ24" s="315"/>
      <c r="HA24" s="315"/>
      <c r="HB24" s="315"/>
      <c r="HC24" s="315"/>
      <c r="HD24" s="315"/>
      <c r="HE24" s="315"/>
      <c r="HF24" s="315"/>
      <c r="HG24" s="315"/>
      <c r="HH24" s="315"/>
      <c r="HI24" s="315"/>
      <c r="HJ24" s="315"/>
      <c r="HK24" s="315"/>
      <c r="HL24" s="315"/>
      <c r="HM24" s="315"/>
      <c r="HN24" s="315"/>
      <c r="HO24" s="315"/>
      <c r="HP24" s="315"/>
      <c r="HQ24" s="315"/>
      <c r="HR24" s="315"/>
      <c r="HS24" s="315"/>
      <c r="HT24" s="315"/>
      <c r="HU24" s="315"/>
      <c r="HV24" s="315"/>
      <c r="HW24" s="315"/>
      <c r="HX24" s="315"/>
      <c r="HY24" s="315"/>
      <c r="HZ24" s="315"/>
      <c r="IA24" s="315"/>
      <c r="IB24" s="315"/>
      <c r="IC24" s="315"/>
      <c r="ID24" s="315"/>
      <c r="IE24" s="315"/>
      <c r="IF24" s="315"/>
      <c r="IG24" s="315"/>
      <c r="IH24" s="315"/>
      <c r="II24" s="315"/>
      <c r="IJ24" s="315"/>
      <c r="IK24" s="315"/>
      <c r="IL24" s="315"/>
      <c r="IM24" s="315"/>
      <c r="IN24" s="315"/>
      <c r="IO24" s="315"/>
      <c r="IP24" s="315"/>
      <c r="IQ24" s="315"/>
    </row>
    <row r="25" s="289" customFormat="1" ht="34.5" customHeight="1" spans="1:251">
      <c r="A25" s="303" t="s">
        <v>150</v>
      </c>
      <c r="B25" s="303"/>
      <c r="C25" s="306" t="s">
        <v>160</v>
      </c>
      <c r="D25" s="305">
        <f>SUM('附表3-扣除项目分摊表'!K16)</f>
        <v>0</v>
      </c>
      <c r="E25" s="305"/>
      <c r="F25" s="305" t="str">
        <f>IF($H$6="三分法",SUM('附表3-扣除项目分摊表'!L16),"")</f>
        <v/>
      </c>
      <c r="G25" s="305"/>
      <c r="H25" s="305">
        <f>IF($H$6="三分法",SUM('附表3-扣除项目分摊表'!M16),SUM('附表3-扣除项目分摊表'!L16:M16))</f>
        <v>0</v>
      </c>
      <c r="I25" s="305"/>
      <c r="J25" s="305">
        <f t="shared" si="0"/>
        <v>0</v>
      </c>
      <c r="K25" s="305"/>
      <c r="L25" s="30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5"/>
      <c r="CC25" s="315"/>
      <c r="CD25" s="315"/>
      <c r="CE25" s="315"/>
      <c r="CF25" s="315"/>
      <c r="CG25" s="315"/>
      <c r="CH25" s="315"/>
      <c r="CI25" s="315"/>
      <c r="CJ25" s="315"/>
      <c r="CK25" s="315"/>
      <c r="CL25" s="315"/>
      <c r="CM25" s="315"/>
      <c r="CN25" s="315"/>
      <c r="CO25" s="315"/>
      <c r="CP25" s="315"/>
      <c r="CQ25" s="315"/>
      <c r="CR25" s="315"/>
      <c r="CS25" s="315"/>
      <c r="CT25" s="315"/>
      <c r="CU25" s="315"/>
      <c r="CV25" s="315"/>
      <c r="CW25" s="315"/>
      <c r="CX25" s="315"/>
      <c r="CY25" s="315"/>
      <c r="CZ25" s="315"/>
      <c r="DA25" s="315"/>
      <c r="DB25" s="315"/>
      <c r="DC25" s="315"/>
      <c r="DD25" s="315"/>
      <c r="DE25" s="315"/>
      <c r="DF25" s="315"/>
      <c r="DG25" s="315"/>
      <c r="DH25" s="315"/>
      <c r="DI25" s="315"/>
      <c r="DJ25" s="315"/>
      <c r="DK25" s="315"/>
      <c r="DL25" s="315"/>
      <c r="DM25" s="315"/>
      <c r="DN25" s="315"/>
      <c r="DO25" s="315"/>
      <c r="DP25" s="315"/>
      <c r="DQ25" s="315"/>
      <c r="DR25" s="315"/>
      <c r="DS25" s="315"/>
      <c r="DT25" s="315"/>
      <c r="DU25" s="315"/>
      <c r="DV25" s="315"/>
      <c r="DW25" s="315"/>
      <c r="DX25" s="315"/>
      <c r="DY25" s="315"/>
      <c r="DZ25" s="315"/>
      <c r="EA25" s="315"/>
      <c r="EB25" s="315"/>
      <c r="EC25" s="315"/>
      <c r="ED25" s="315"/>
      <c r="EE25" s="315"/>
      <c r="EF25" s="315"/>
      <c r="EG25" s="315"/>
      <c r="EH25" s="315"/>
      <c r="EI25" s="315"/>
      <c r="EJ25" s="315"/>
      <c r="EK25" s="315"/>
      <c r="EL25" s="315"/>
      <c r="EM25" s="315"/>
      <c r="EN25" s="315"/>
      <c r="EO25" s="315"/>
      <c r="EP25" s="315"/>
      <c r="EQ25" s="315"/>
      <c r="ER25" s="315"/>
      <c r="ES25" s="315"/>
      <c r="ET25" s="315"/>
      <c r="EU25" s="315"/>
      <c r="EV25" s="315"/>
      <c r="EW25" s="315"/>
      <c r="EX25" s="315"/>
      <c r="EY25" s="315"/>
      <c r="EZ25" s="315"/>
      <c r="FA25" s="315"/>
      <c r="FB25" s="315"/>
      <c r="FC25" s="315"/>
      <c r="FD25" s="315"/>
      <c r="FE25" s="315"/>
      <c r="FF25" s="315"/>
      <c r="FG25" s="315"/>
      <c r="FH25" s="315"/>
      <c r="FI25" s="315"/>
      <c r="FJ25" s="315"/>
      <c r="FK25" s="315"/>
      <c r="FL25" s="315"/>
      <c r="FM25" s="315"/>
      <c r="FN25" s="315"/>
      <c r="FO25" s="315"/>
      <c r="FP25" s="315"/>
      <c r="FQ25" s="315"/>
      <c r="FR25" s="315"/>
      <c r="FS25" s="315"/>
      <c r="FT25" s="315"/>
      <c r="FU25" s="315"/>
      <c r="FV25" s="315"/>
      <c r="FW25" s="315"/>
      <c r="FX25" s="315"/>
      <c r="FY25" s="315"/>
      <c r="FZ25" s="315"/>
      <c r="GA25" s="315"/>
      <c r="GB25" s="315"/>
      <c r="GC25" s="315"/>
      <c r="GD25" s="315"/>
      <c r="GE25" s="315"/>
      <c r="GF25" s="315"/>
      <c r="GG25" s="315"/>
      <c r="GH25" s="315"/>
      <c r="GI25" s="315"/>
      <c r="GJ25" s="315"/>
      <c r="GK25" s="315"/>
      <c r="GL25" s="315"/>
      <c r="GM25" s="315"/>
      <c r="GN25" s="315"/>
      <c r="GO25" s="315"/>
      <c r="GP25" s="315"/>
      <c r="GQ25" s="315"/>
      <c r="GR25" s="315"/>
      <c r="GS25" s="315"/>
      <c r="GT25" s="315"/>
      <c r="GU25" s="315"/>
      <c r="GV25" s="315"/>
      <c r="GW25" s="315"/>
      <c r="GX25" s="315"/>
      <c r="GY25" s="315"/>
      <c r="GZ25" s="315"/>
      <c r="HA25" s="315"/>
      <c r="HB25" s="315"/>
      <c r="HC25" s="315"/>
      <c r="HD25" s="315"/>
      <c r="HE25" s="315"/>
      <c r="HF25" s="315"/>
      <c r="HG25" s="315"/>
      <c r="HH25" s="315"/>
      <c r="HI25" s="315"/>
      <c r="HJ25" s="315"/>
      <c r="HK25" s="315"/>
      <c r="HL25" s="315"/>
      <c r="HM25" s="315"/>
      <c r="HN25" s="315"/>
      <c r="HO25" s="315"/>
      <c r="HP25" s="315"/>
      <c r="HQ25" s="315"/>
      <c r="HR25" s="315"/>
      <c r="HS25" s="315"/>
      <c r="HT25" s="315"/>
      <c r="HU25" s="315"/>
      <c r="HV25" s="315"/>
      <c r="HW25" s="315"/>
      <c r="HX25" s="315"/>
      <c r="HY25" s="315"/>
      <c r="HZ25" s="315"/>
      <c r="IA25" s="315"/>
      <c r="IB25" s="315"/>
      <c r="IC25" s="315"/>
      <c r="ID25" s="315"/>
      <c r="IE25" s="315"/>
      <c r="IF25" s="315"/>
      <c r="IG25" s="315"/>
      <c r="IH25" s="315"/>
      <c r="II25" s="315"/>
      <c r="IJ25" s="315"/>
      <c r="IK25" s="315"/>
      <c r="IL25" s="315"/>
      <c r="IM25" s="315"/>
      <c r="IN25" s="315"/>
      <c r="IO25" s="315"/>
      <c r="IP25" s="315"/>
      <c r="IQ25" s="315"/>
    </row>
    <row r="26" ht="34.5" customHeight="1" spans="1:251">
      <c r="A26" s="303" t="s">
        <v>161</v>
      </c>
      <c r="B26" s="303"/>
      <c r="C26" s="304" t="s">
        <v>162</v>
      </c>
      <c r="D26" s="305">
        <f>SUM(D27:D28)</f>
        <v>0</v>
      </c>
      <c r="E26" s="305"/>
      <c r="F26" s="305">
        <f>SUM(F27:F28)</f>
        <v>0</v>
      </c>
      <c r="G26" s="305"/>
      <c r="H26" s="305">
        <f>SUM(H27:H28)</f>
        <v>0</v>
      </c>
      <c r="I26" s="305"/>
      <c r="J26" s="305">
        <f t="shared" si="0"/>
        <v>0</v>
      </c>
      <c r="K26" s="305"/>
      <c r="L26" s="305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  <c r="IL26" s="140"/>
      <c r="IM26" s="140"/>
      <c r="IN26" s="140"/>
      <c r="IO26" s="140"/>
      <c r="IP26" s="140"/>
      <c r="IQ26" s="140"/>
    </row>
    <row r="27" ht="34.5" customHeight="1" spans="1:251">
      <c r="A27" s="303" t="s">
        <v>163</v>
      </c>
      <c r="B27" s="303"/>
      <c r="C27" s="304">
        <v>15</v>
      </c>
      <c r="D27" s="305">
        <f>SUM('附表3-扣除项目分摊表'!K18)</f>
        <v>0</v>
      </c>
      <c r="E27" s="305"/>
      <c r="F27" s="305" t="str">
        <f>IF($H$6="三分法",SUM('附表3-扣除项目分摊表'!L18),"")</f>
        <v/>
      </c>
      <c r="G27" s="305"/>
      <c r="H27" s="305">
        <f>IF($H$6="三分法",SUM('附表3-扣除项目分摊表'!M18),SUM('附表3-扣除项目分摊表'!L18:M18))</f>
        <v>0</v>
      </c>
      <c r="I27" s="305"/>
      <c r="J27" s="305">
        <f t="shared" si="0"/>
        <v>0</v>
      </c>
      <c r="K27" s="305"/>
      <c r="L27" s="305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  <c r="IL27" s="140"/>
      <c r="IM27" s="140"/>
      <c r="IN27" s="140"/>
      <c r="IO27" s="140"/>
      <c r="IP27" s="140"/>
      <c r="IQ27" s="140"/>
    </row>
    <row r="28" ht="34.5" customHeight="1" spans="1:251">
      <c r="A28" s="303" t="s">
        <v>164</v>
      </c>
      <c r="B28" s="303"/>
      <c r="C28" s="304">
        <v>16</v>
      </c>
      <c r="D28" s="305">
        <f>SUM('附表3-扣除项目分摊表'!K19)</f>
        <v>0</v>
      </c>
      <c r="E28" s="305"/>
      <c r="F28" s="305" t="str">
        <f>IF($H$6="三分法",SUM('附表3-扣除项目分摊表'!L19),"")</f>
        <v/>
      </c>
      <c r="G28" s="305"/>
      <c r="H28" s="305">
        <f>IF($H$6="三分法",SUM('附表3-扣除项目分摊表'!M19),SUM('附表3-扣除项目分摊表'!L19:M19))</f>
        <v>0</v>
      </c>
      <c r="I28" s="305"/>
      <c r="J28" s="305">
        <f t="shared" si="0"/>
        <v>0</v>
      </c>
      <c r="K28" s="305"/>
      <c r="L28" s="305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  <c r="IA28" s="140"/>
      <c r="IB28" s="140"/>
      <c r="IC28" s="140"/>
      <c r="ID28" s="140"/>
      <c r="IE28" s="140"/>
      <c r="IF28" s="140"/>
      <c r="IG28" s="140"/>
      <c r="IH28" s="140"/>
      <c r="II28" s="140"/>
      <c r="IJ28" s="140"/>
      <c r="IK28" s="140"/>
      <c r="IL28" s="140"/>
      <c r="IM28" s="140"/>
      <c r="IN28" s="140"/>
      <c r="IO28" s="140"/>
      <c r="IP28" s="140"/>
      <c r="IQ28" s="140"/>
    </row>
    <row r="29" ht="34.5" customHeight="1" spans="1:251">
      <c r="A29" s="303" t="s">
        <v>165</v>
      </c>
      <c r="B29" s="303"/>
      <c r="C29" s="304" t="s">
        <v>166</v>
      </c>
      <c r="D29" s="305">
        <f>SUM(D30:D32)</f>
        <v>0</v>
      </c>
      <c r="E29" s="305"/>
      <c r="F29" s="305">
        <f>SUM(F30:F32)</f>
        <v>0</v>
      </c>
      <c r="G29" s="305"/>
      <c r="H29" s="305">
        <f>SUM(H30:H32)</f>
        <v>0</v>
      </c>
      <c r="I29" s="305"/>
      <c r="J29" s="305">
        <f t="shared" si="0"/>
        <v>0</v>
      </c>
      <c r="K29" s="305"/>
      <c r="L29" s="305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  <c r="HS29" s="140"/>
      <c r="HT29" s="140"/>
      <c r="HU29" s="140"/>
      <c r="HV29" s="140"/>
      <c r="HW29" s="140"/>
      <c r="HX29" s="140"/>
      <c r="HY29" s="140"/>
      <c r="HZ29" s="140"/>
      <c r="IA29" s="140"/>
      <c r="IB29" s="140"/>
      <c r="IC29" s="140"/>
      <c r="ID29" s="140"/>
      <c r="IE29" s="140"/>
      <c r="IF29" s="140"/>
      <c r="IG29" s="140"/>
      <c r="IH29" s="140"/>
      <c r="II29" s="140"/>
      <c r="IJ29" s="140"/>
      <c r="IK29" s="140"/>
      <c r="IL29" s="140"/>
      <c r="IM29" s="140"/>
      <c r="IN29" s="140"/>
      <c r="IO29" s="140"/>
      <c r="IP29" s="140"/>
      <c r="IQ29" s="140"/>
    </row>
    <row r="30" ht="34.5" customHeight="1" spans="1:251">
      <c r="A30" s="303" t="s">
        <v>167</v>
      </c>
      <c r="B30" s="303"/>
      <c r="C30" s="304">
        <v>18</v>
      </c>
      <c r="D30" s="305">
        <f>SUM('附表3-扣除项目分摊表'!K21)</f>
        <v>0</v>
      </c>
      <c r="E30" s="305"/>
      <c r="F30" s="305" t="str">
        <f>IF($H$6="三分法",SUM('附表3-扣除项目分摊表'!L21),"")</f>
        <v/>
      </c>
      <c r="G30" s="305"/>
      <c r="H30" s="305">
        <f>IF($H$6="三分法",SUM('附表3-扣除项目分摊表'!M21),SUM('附表3-扣除项目分摊表'!L21:M21))</f>
        <v>0</v>
      </c>
      <c r="I30" s="305"/>
      <c r="J30" s="305">
        <f t="shared" si="0"/>
        <v>0</v>
      </c>
      <c r="K30" s="305"/>
      <c r="L30" s="305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  <c r="HT30" s="140"/>
      <c r="HU30" s="140"/>
      <c r="HV30" s="140"/>
      <c r="HW30" s="140"/>
      <c r="HX30" s="140"/>
      <c r="HY30" s="140"/>
      <c r="HZ30" s="140"/>
      <c r="IA30" s="140"/>
      <c r="IB30" s="140"/>
      <c r="IC30" s="140"/>
      <c r="ID30" s="140"/>
      <c r="IE30" s="140"/>
      <c r="IF30" s="140"/>
      <c r="IG30" s="140"/>
      <c r="IH30" s="140"/>
      <c r="II30" s="140"/>
      <c r="IJ30" s="140"/>
      <c r="IK30" s="140"/>
      <c r="IL30" s="140"/>
      <c r="IM30" s="140"/>
      <c r="IN30" s="140"/>
      <c r="IO30" s="140"/>
      <c r="IP30" s="140"/>
      <c r="IQ30" s="140"/>
    </row>
    <row r="31" ht="34.5" customHeight="1" spans="1:251">
      <c r="A31" s="303" t="s">
        <v>168</v>
      </c>
      <c r="B31" s="303"/>
      <c r="C31" s="304">
        <v>19</v>
      </c>
      <c r="D31" s="305">
        <f>SUM('附表3-扣除项目分摊表'!K22)</f>
        <v>0</v>
      </c>
      <c r="E31" s="305"/>
      <c r="F31" s="305" t="str">
        <f>IF($H$6="三分法",SUM('附表3-扣除项目分摊表'!L22),"")</f>
        <v/>
      </c>
      <c r="G31" s="305"/>
      <c r="H31" s="305">
        <f>IF($H$6="三分法",SUM('附表3-扣除项目分摊表'!M22),SUM('附表3-扣除项目分摊表'!L22:M22))</f>
        <v>0</v>
      </c>
      <c r="I31" s="305"/>
      <c r="J31" s="305">
        <f t="shared" si="0"/>
        <v>0</v>
      </c>
      <c r="K31" s="305"/>
      <c r="L31" s="305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  <c r="HP31" s="140"/>
      <c r="HQ31" s="140"/>
      <c r="HR31" s="140"/>
      <c r="HS31" s="140"/>
      <c r="HT31" s="140"/>
      <c r="HU31" s="140"/>
      <c r="HV31" s="140"/>
      <c r="HW31" s="140"/>
      <c r="HX31" s="140"/>
      <c r="HY31" s="140"/>
      <c r="HZ31" s="140"/>
      <c r="IA31" s="140"/>
      <c r="IB31" s="140"/>
      <c r="IC31" s="140"/>
      <c r="ID31" s="140"/>
      <c r="IE31" s="140"/>
      <c r="IF31" s="140"/>
      <c r="IG31" s="140"/>
      <c r="IH31" s="140"/>
      <c r="II31" s="140"/>
      <c r="IJ31" s="140"/>
      <c r="IK31" s="140"/>
      <c r="IL31" s="140"/>
      <c r="IM31" s="140"/>
      <c r="IN31" s="140"/>
      <c r="IO31" s="140"/>
      <c r="IP31" s="140"/>
      <c r="IQ31" s="140"/>
    </row>
    <row r="32" ht="34.5" customHeight="1" spans="1:251">
      <c r="A32" s="303" t="s">
        <v>169</v>
      </c>
      <c r="B32" s="303"/>
      <c r="C32" s="304">
        <v>20</v>
      </c>
      <c r="D32" s="305">
        <f>SUM('附表3-扣除项目分摊表'!K23:K25)</f>
        <v>0</v>
      </c>
      <c r="E32" s="305"/>
      <c r="F32" s="305" t="str">
        <f>IF($H$6="三分法",SUM('附表3-扣除项目分摊表'!L23:L25),"")</f>
        <v/>
      </c>
      <c r="G32" s="305"/>
      <c r="H32" s="305">
        <f>IF($H$6="三分法",SUM('附表3-扣除项目分摊表'!M23:M25),SUM('附表3-扣除项目分摊表'!L23:M25))</f>
        <v>0</v>
      </c>
      <c r="I32" s="305"/>
      <c r="J32" s="305">
        <f t="shared" si="0"/>
        <v>0</v>
      </c>
      <c r="K32" s="305"/>
      <c r="L32" s="305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  <c r="HS32" s="140"/>
      <c r="HT32" s="140"/>
      <c r="HU32" s="140"/>
      <c r="HV32" s="140"/>
      <c r="HW32" s="140"/>
      <c r="HX32" s="140"/>
      <c r="HY32" s="140"/>
      <c r="HZ32" s="140"/>
      <c r="IA32" s="140"/>
      <c r="IB32" s="140"/>
      <c r="IC32" s="140"/>
      <c r="ID32" s="140"/>
      <c r="IE32" s="140"/>
      <c r="IF32" s="140"/>
      <c r="IG32" s="140"/>
      <c r="IH32" s="140"/>
      <c r="II32" s="140"/>
      <c r="IJ32" s="140"/>
      <c r="IK32" s="140"/>
      <c r="IL32" s="140"/>
      <c r="IM32" s="140"/>
      <c r="IN32" s="140"/>
      <c r="IO32" s="140"/>
      <c r="IP32" s="140"/>
      <c r="IQ32" s="140"/>
    </row>
    <row r="33" ht="34.5" customHeight="1" spans="1:251">
      <c r="A33" s="303" t="s">
        <v>170</v>
      </c>
      <c r="B33" s="303"/>
      <c r="C33" s="304">
        <v>21</v>
      </c>
      <c r="D33" s="305">
        <f>SUM('附表3-扣除项目分摊表'!K26)</f>
        <v>0</v>
      </c>
      <c r="E33" s="305"/>
      <c r="F33" s="305" t="str">
        <f>IF($H$6="三分法",SUM('附表3-扣除项目分摊表'!L26),"")</f>
        <v/>
      </c>
      <c r="G33" s="305"/>
      <c r="H33" s="305">
        <f>IF($H$6="三分法",SUM('附表3-扣除项目分摊表'!M26),SUM('附表3-扣除项目分摊表'!L26:M26))</f>
        <v>0</v>
      </c>
      <c r="I33" s="305"/>
      <c r="J33" s="305">
        <f t="shared" si="0"/>
        <v>0</v>
      </c>
      <c r="K33" s="305"/>
      <c r="L33" s="305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  <c r="HS33" s="140"/>
      <c r="HT33" s="140"/>
      <c r="HU33" s="140"/>
      <c r="HV33" s="140"/>
      <c r="HW33" s="140"/>
      <c r="HX33" s="140"/>
      <c r="HY33" s="140"/>
      <c r="HZ33" s="140"/>
      <c r="IA33" s="140"/>
      <c r="IB33" s="140"/>
      <c r="IC33" s="140"/>
      <c r="ID33" s="140"/>
      <c r="IE33" s="140"/>
      <c r="IF33" s="140"/>
      <c r="IG33" s="140"/>
      <c r="IH33" s="140"/>
      <c r="II33" s="140"/>
      <c r="IJ33" s="140"/>
      <c r="IK33" s="140"/>
      <c r="IL33" s="140"/>
      <c r="IM33" s="140"/>
      <c r="IN33" s="140"/>
      <c r="IO33" s="140"/>
      <c r="IP33" s="140"/>
      <c r="IQ33" s="140"/>
    </row>
    <row r="34" ht="34.5" customHeight="1" spans="1:251">
      <c r="A34" s="303" t="s">
        <v>171</v>
      </c>
      <c r="B34" s="303"/>
      <c r="C34" s="304">
        <v>22</v>
      </c>
      <c r="D34" s="305">
        <f>SUM('附表3-扣除项目分摊表'!K27)</f>
        <v>0</v>
      </c>
      <c r="E34" s="305"/>
      <c r="F34" s="305" t="str">
        <f>IF($H$6="三分法",SUM('附表3-扣除项目分摊表'!L27),"")</f>
        <v/>
      </c>
      <c r="G34" s="305"/>
      <c r="H34" s="305">
        <f>IF($H$6="三分法",SUM('附表3-扣除项目分摊表'!M27),SUM('附表3-扣除项目分摊表'!L27:M27))</f>
        <v>0</v>
      </c>
      <c r="I34" s="305"/>
      <c r="J34" s="305">
        <f t="shared" si="0"/>
        <v>0</v>
      </c>
      <c r="K34" s="305"/>
      <c r="L34" s="305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  <c r="HS34" s="140"/>
      <c r="HT34" s="140"/>
      <c r="HU34" s="140"/>
      <c r="HV34" s="140"/>
      <c r="HW34" s="140"/>
      <c r="HX34" s="140"/>
      <c r="HY34" s="140"/>
      <c r="HZ34" s="140"/>
      <c r="IA34" s="140"/>
      <c r="IB34" s="140"/>
      <c r="IC34" s="140"/>
      <c r="ID34" s="140"/>
      <c r="IE34" s="140"/>
      <c r="IF34" s="140"/>
      <c r="IG34" s="140"/>
      <c r="IH34" s="140"/>
      <c r="II34" s="140"/>
      <c r="IJ34" s="140"/>
      <c r="IK34" s="140"/>
      <c r="IL34" s="140"/>
      <c r="IM34" s="140"/>
      <c r="IN34" s="140"/>
      <c r="IO34" s="140"/>
      <c r="IP34" s="140"/>
      <c r="IQ34" s="140"/>
    </row>
    <row r="35" ht="34.5" customHeight="1" spans="1:251">
      <c r="A35" s="303" t="s">
        <v>172</v>
      </c>
      <c r="B35" s="303"/>
      <c r="C35" s="304" t="s">
        <v>173</v>
      </c>
      <c r="D35" s="305">
        <f>D11-D15</f>
        <v>0</v>
      </c>
      <c r="E35" s="305"/>
      <c r="F35" s="305">
        <f>F11-F15</f>
        <v>0</v>
      </c>
      <c r="G35" s="305"/>
      <c r="H35" s="305">
        <f>H11-H15</f>
        <v>0</v>
      </c>
      <c r="I35" s="305"/>
      <c r="J35" s="305">
        <f t="shared" si="0"/>
        <v>0</v>
      </c>
      <c r="K35" s="305"/>
      <c r="L35" s="305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0"/>
      <c r="FF35" s="140"/>
      <c r="FG35" s="140"/>
      <c r="FH35" s="140"/>
      <c r="FI35" s="140"/>
      <c r="FJ35" s="140"/>
      <c r="FK35" s="140"/>
      <c r="FL35" s="140"/>
      <c r="FM35" s="140"/>
      <c r="FN35" s="140"/>
      <c r="FO35" s="140"/>
      <c r="FP35" s="140"/>
      <c r="FQ35" s="140"/>
      <c r="FR35" s="140"/>
      <c r="FS35" s="140"/>
      <c r="FT35" s="140"/>
      <c r="FU35" s="140"/>
      <c r="FV35" s="140"/>
      <c r="FW35" s="140"/>
      <c r="FX35" s="140"/>
      <c r="FY35" s="140"/>
      <c r="FZ35" s="140"/>
      <c r="GA35" s="140"/>
      <c r="GB35" s="140"/>
      <c r="GC35" s="140"/>
      <c r="GD35" s="140"/>
      <c r="GE35" s="140"/>
      <c r="GF35" s="140"/>
      <c r="GG35" s="140"/>
      <c r="GH35" s="140"/>
      <c r="GI35" s="140"/>
      <c r="GJ35" s="140"/>
      <c r="GK35" s="140"/>
      <c r="GL35" s="140"/>
      <c r="GM35" s="140"/>
      <c r="GN35" s="140"/>
      <c r="GO35" s="140"/>
      <c r="GP35" s="140"/>
      <c r="GQ35" s="140"/>
      <c r="GR35" s="140"/>
      <c r="GS35" s="140"/>
      <c r="GT35" s="140"/>
      <c r="GU35" s="140"/>
      <c r="GV35" s="140"/>
      <c r="GW35" s="140"/>
      <c r="GX35" s="140"/>
      <c r="GY35" s="140"/>
      <c r="GZ35" s="140"/>
      <c r="HA35" s="140"/>
      <c r="HB35" s="140"/>
      <c r="HC35" s="140"/>
      <c r="HD35" s="140"/>
      <c r="HE35" s="140"/>
      <c r="HF35" s="140"/>
      <c r="HG35" s="140"/>
      <c r="HH35" s="140"/>
      <c r="HI35" s="140"/>
      <c r="HJ35" s="140"/>
      <c r="HK35" s="140"/>
      <c r="HL35" s="140"/>
      <c r="HM35" s="140"/>
      <c r="HN35" s="140"/>
      <c r="HO35" s="140"/>
      <c r="HP35" s="140"/>
      <c r="HQ35" s="140"/>
      <c r="HR35" s="140"/>
      <c r="HS35" s="140"/>
      <c r="HT35" s="140"/>
      <c r="HU35" s="140"/>
      <c r="HV35" s="140"/>
      <c r="HW35" s="140"/>
      <c r="HX35" s="140"/>
      <c r="HY35" s="140"/>
      <c r="HZ35" s="140"/>
      <c r="IA35" s="140"/>
      <c r="IB35" s="140"/>
      <c r="IC35" s="140"/>
      <c r="ID35" s="140"/>
      <c r="IE35" s="140"/>
      <c r="IF35" s="140"/>
      <c r="IG35" s="140"/>
      <c r="IH35" s="140"/>
      <c r="II35" s="140"/>
      <c r="IJ35" s="140"/>
      <c r="IK35" s="140"/>
      <c r="IL35" s="140"/>
      <c r="IM35" s="140"/>
      <c r="IN35" s="140"/>
      <c r="IO35" s="140"/>
      <c r="IP35" s="140"/>
      <c r="IQ35" s="140"/>
    </row>
    <row r="36" ht="34.5" customHeight="1" spans="1:251">
      <c r="A36" s="303" t="s">
        <v>174</v>
      </c>
      <c r="B36" s="303"/>
      <c r="C36" s="304" t="s">
        <v>175</v>
      </c>
      <c r="D36" s="307" t="str">
        <f t="shared" ref="D36:H36" si="3">IF(D15=0,"",ROUND(D35/D15,6))</f>
        <v/>
      </c>
      <c r="E36" s="307"/>
      <c r="F36" s="307" t="str">
        <f t="shared" si="3"/>
        <v/>
      </c>
      <c r="G36" s="307"/>
      <c r="H36" s="307" t="str">
        <f t="shared" si="3"/>
        <v/>
      </c>
      <c r="I36" s="307"/>
      <c r="J36" s="308" t="str">
        <f>IF(J15=0,"",ROUND(J35/J15,6))</f>
        <v/>
      </c>
      <c r="K36" s="308"/>
      <c r="L36" s="308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  <c r="HP36" s="140"/>
      <c r="HQ36" s="140"/>
      <c r="HR36" s="140"/>
      <c r="HS36" s="140"/>
      <c r="HT36" s="140"/>
      <c r="HU36" s="140"/>
      <c r="HV36" s="140"/>
      <c r="HW36" s="140"/>
      <c r="HX36" s="140"/>
      <c r="HY36" s="140"/>
      <c r="HZ36" s="140"/>
      <c r="IA36" s="140"/>
      <c r="IB36" s="140"/>
      <c r="IC36" s="140"/>
      <c r="ID36" s="140"/>
      <c r="IE36" s="140"/>
      <c r="IF36" s="140"/>
      <c r="IG36" s="140"/>
      <c r="IH36" s="140"/>
      <c r="II36" s="140"/>
      <c r="IJ36" s="140"/>
      <c r="IK36" s="140"/>
      <c r="IL36" s="140"/>
      <c r="IM36" s="140"/>
      <c r="IN36" s="140"/>
      <c r="IO36" s="140"/>
      <c r="IP36" s="140"/>
      <c r="IQ36" s="140"/>
    </row>
    <row r="37" ht="34.5" customHeight="1" spans="1:251">
      <c r="A37" s="303" t="s">
        <v>176</v>
      </c>
      <c r="B37" s="303"/>
      <c r="C37" s="304">
        <v>25</v>
      </c>
      <c r="D37" s="308" t="str">
        <f>IF(D35&lt;0,"",IF(D36="","",IF(D36&gt;200%,60%,IF(D36&gt;100%,50%,IF(D36&gt;50%,40%,30%)))))</f>
        <v/>
      </c>
      <c r="E37" s="308"/>
      <c r="F37" s="308" t="str">
        <f>IF(F35&lt;0,"",IF(F36="","",IF(F36&gt;200%,60%,IF(F36&gt;100%,50%,IF(F36&gt;50%,40%,30%)))))</f>
        <v/>
      </c>
      <c r="G37" s="308"/>
      <c r="H37" s="308" t="str">
        <f>IF(H35&lt;0,"",IF(H36="","",IF(H36&gt;200%,60%,IF(H36&gt;100%,50%,IF(H36&gt;50%,40%,30%)))))</f>
        <v/>
      </c>
      <c r="I37" s="308"/>
      <c r="J37" s="308"/>
      <c r="K37" s="308"/>
      <c r="L37" s="308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0"/>
      <c r="FF37" s="140"/>
      <c r="FG37" s="140"/>
      <c r="FH37" s="140"/>
      <c r="FI37" s="140"/>
      <c r="FJ37" s="140"/>
      <c r="FK37" s="140"/>
      <c r="FL37" s="140"/>
      <c r="FM37" s="140"/>
      <c r="FN37" s="140"/>
      <c r="FO37" s="140"/>
      <c r="FP37" s="140"/>
      <c r="FQ37" s="140"/>
      <c r="FR37" s="140"/>
      <c r="FS37" s="140"/>
      <c r="FT37" s="140"/>
      <c r="FU37" s="140"/>
      <c r="FV37" s="140"/>
      <c r="FW37" s="140"/>
      <c r="FX37" s="140"/>
      <c r="FY37" s="140"/>
      <c r="FZ37" s="140"/>
      <c r="GA37" s="140"/>
      <c r="GB37" s="140"/>
      <c r="GC37" s="140"/>
      <c r="GD37" s="140"/>
      <c r="GE37" s="140"/>
      <c r="GF37" s="140"/>
      <c r="GG37" s="140"/>
      <c r="GH37" s="140"/>
      <c r="GI37" s="140"/>
      <c r="GJ37" s="140"/>
      <c r="GK37" s="140"/>
      <c r="GL37" s="140"/>
      <c r="GM37" s="140"/>
      <c r="GN37" s="140"/>
      <c r="GO37" s="140"/>
      <c r="GP37" s="140"/>
      <c r="GQ37" s="140"/>
      <c r="GR37" s="140"/>
      <c r="GS37" s="140"/>
      <c r="GT37" s="140"/>
      <c r="GU37" s="140"/>
      <c r="GV37" s="140"/>
      <c r="GW37" s="140"/>
      <c r="GX37" s="140"/>
      <c r="GY37" s="140"/>
      <c r="GZ37" s="140"/>
      <c r="HA37" s="140"/>
      <c r="HB37" s="140"/>
      <c r="HC37" s="140"/>
      <c r="HD37" s="140"/>
      <c r="HE37" s="140"/>
      <c r="HF37" s="140"/>
      <c r="HG37" s="140"/>
      <c r="HH37" s="140"/>
      <c r="HI37" s="140"/>
      <c r="HJ37" s="140"/>
      <c r="HK37" s="140"/>
      <c r="HL37" s="140"/>
      <c r="HM37" s="140"/>
      <c r="HN37" s="140"/>
      <c r="HO37" s="140"/>
      <c r="HP37" s="140"/>
      <c r="HQ37" s="140"/>
      <c r="HR37" s="140"/>
      <c r="HS37" s="140"/>
      <c r="HT37" s="140"/>
      <c r="HU37" s="140"/>
      <c r="HV37" s="140"/>
      <c r="HW37" s="140"/>
      <c r="HX37" s="140"/>
      <c r="HY37" s="140"/>
      <c r="HZ37" s="140"/>
      <c r="IA37" s="140"/>
      <c r="IB37" s="140"/>
      <c r="IC37" s="140"/>
      <c r="ID37" s="140"/>
      <c r="IE37" s="140"/>
      <c r="IF37" s="140"/>
      <c r="IG37" s="140"/>
      <c r="IH37" s="140"/>
      <c r="II37" s="140"/>
      <c r="IJ37" s="140"/>
      <c r="IK37" s="140"/>
      <c r="IL37" s="140"/>
      <c r="IM37" s="140"/>
      <c r="IN37" s="140"/>
      <c r="IO37" s="140"/>
      <c r="IP37" s="140"/>
      <c r="IQ37" s="140"/>
    </row>
    <row r="38" ht="34.5" customHeight="1" spans="1:251">
      <c r="A38" s="303" t="s">
        <v>177</v>
      </c>
      <c r="B38" s="303"/>
      <c r="C38" s="304">
        <v>26</v>
      </c>
      <c r="D38" s="308" t="str">
        <f>IF(D36="","",IF(D36&gt;200%,35%,IF(D36&gt;100%,15%,IF(D36&gt;50%,5%,0))))</f>
        <v/>
      </c>
      <c r="E38" s="308"/>
      <c r="F38" s="308" t="str">
        <f t="shared" ref="F38" si="4">IF(F36="","",IF(F36&gt;200%,35%,IF(F36&gt;100%,15%,IF(F36&gt;50%,5%,0))))</f>
        <v/>
      </c>
      <c r="G38" s="308"/>
      <c r="H38" s="308" t="str">
        <f t="shared" ref="H38" si="5">IF(H36="","",IF(H36&gt;200%,35%,IF(H36&gt;100%,15%,IF(H36&gt;50%,5%,0))))</f>
        <v/>
      </c>
      <c r="I38" s="308"/>
      <c r="J38" s="308"/>
      <c r="K38" s="308"/>
      <c r="L38" s="308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140"/>
      <c r="ET38" s="140"/>
      <c r="EU38" s="140"/>
      <c r="EV38" s="140"/>
      <c r="EW38" s="140"/>
      <c r="EX38" s="140"/>
      <c r="EY38" s="140"/>
      <c r="EZ38" s="140"/>
      <c r="FA38" s="140"/>
      <c r="FB38" s="140"/>
      <c r="FC38" s="140"/>
      <c r="FD38" s="140"/>
      <c r="FE38" s="140"/>
      <c r="FF38" s="140"/>
      <c r="FG38" s="140"/>
      <c r="FH38" s="140"/>
      <c r="FI38" s="140"/>
      <c r="FJ38" s="140"/>
      <c r="FK38" s="140"/>
      <c r="FL38" s="140"/>
      <c r="FM38" s="140"/>
      <c r="FN38" s="140"/>
      <c r="FO38" s="140"/>
      <c r="FP38" s="140"/>
      <c r="FQ38" s="140"/>
      <c r="FR38" s="140"/>
      <c r="FS38" s="140"/>
      <c r="FT38" s="140"/>
      <c r="FU38" s="140"/>
      <c r="FV38" s="140"/>
      <c r="FW38" s="140"/>
      <c r="FX38" s="140"/>
      <c r="FY38" s="140"/>
      <c r="FZ38" s="140"/>
      <c r="GA38" s="140"/>
      <c r="GB38" s="140"/>
      <c r="GC38" s="140"/>
      <c r="GD38" s="140"/>
      <c r="GE38" s="140"/>
      <c r="GF38" s="140"/>
      <c r="GG38" s="140"/>
      <c r="GH38" s="140"/>
      <c r="GI38" s="140"/>
      <c r="GJ38" s="140"/>
      <c r="GK38" s="140"/>
      <c r="GL38" s="140"/>
      <c r="GM38" s="140"/>
      <c r="GN38" s="140"/>
      <c r="GO38" s="140"/>
      <c r="GP38" s="140"/>
      <c r="GQ38" s="140"/>
      <c r="GR38" s="140"/>
      <c r="GS38" s="140"/>
      <c r="GT38" s="140"/>
      <c r="GU38" s="140"/>
      <c r="GV38" s="140"/>
      <c r="GW38" s="140"/>
      <c r="GX38" s="140"/>
      <c r="GY38" s="140"/>
      <c r="GZ38" s="140"/>
      <c r="HA38" s="140"/>
      <c r="HB38" s="140"/>
      <c r="HC38" s="140"/>
      <c r="HD38" s="140"/>
      <c r="HE38" s="140"/>
      <c r="HF38" s="140"/>
      <c r="HG38" s="140"/>
      <c r="HH38" s="140"/>
      <c r="HI38" s="140"/>
      <c r="HJ38" s="140"/>
      <c r="HK38" s="140"/>
      <c r="HL38" s="140"/>
      <c r="HM38" s="140"/>
      <c r="HN38" s="140"/>
      <c r="HO38" s="140"/>
      <c r="HP38" s="140"/>
      <c r="HQ38" s="140"/>
      <c r="HR38" s="140"/>
      <c r="HS38" s="140"/>
      <c r="HT38" s="140"/>
      <c r="HU38" s="140"/>
      <c r="HV38" s="140"/>
      <c r="HW38" s="140"/>
      <c r="HX38" s="140"/>
      <c r="HY38" s="140"/>
      <c r="HZ38" s="140"/>
      <c r="IA38" s="140"/>
      <c r="IB38" s="140"/>
      <c r="IC38" s="140"/>
      <c r="ID38" s="140"/>
      <c r="IE38" s="140"/>
      <c r="IF38" s="140"/>
      <c r="IG38" s="140"/>
      <c r="IH38" s="140"/>
      <c r="II38" s="140"/>
      <c r="IJ38" s="140"/>
      <c r="IK38" s="140"/>
      <c r="IL38" s="140"/>
      <c r="IM38" s="140"/>
      <c r="IN38" s="140"/>
      <c r="IO38" s="140"/>
      <c r="IP38" s="140"/>
      <c r="IQ38" s="140"/>
    </row>
    <row r="39" ht="34.5" customHeight="1" spans="1:251">
      <c r="A39" s="303" t="s">
        <v>178</v>
      </c>
      <c r="B39" s="303"/>
      <c r="C39" s="304" t="s">
        <v>179</v>
      </c>
      <c r="D39" s="305">
        <f>IF(D35&lt;0,0,ROUND(SUM(D35)*SUM(D37)-SUM(D15)*SUM(D38),2))</f>
        <v>0</v>
      </c>
      <c r="E39" s="305"/>
      <c r="F39" s="305">
        <f>IF(F35&lt;0,0,ROUND(SUM(F35)*SUM(F37)-SUM(F15)*SUM(F38),2))</f>
        <v>0</v>
      </c>
      <c r="G39" s="305"/>
      <c r="H39" s="305">
        <f>IF(H35&lt;0,0,ROUND(SUM(H35)*SUM(H37)-SUM(H15)*SUM(H38),2))</f>
        <v>0</v>
      </c>
      <c r="I39" s="305"/>
      <c r="J39" s="305">
        <f>SUM(D39:I39)</f>
        <v>0</v>
      </c>
      <c r="K39" s="305"/>
      <c r="L39" s="305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140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140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  <c r="HP39" s="140"/>
      <c r="HQ39" s="140"/>
      <c r="HR39" s="140"/>
      <c r="HS39" s="140"/>
      <c r="HT39" s="140"/>
      <c r="HU39" s="140"/>
      <c r="HV39" s="140"/>
      <c r="HW39" s="140"/>
      <c r="HX39" s="140"/>
      <c r="HY39" s="140"/>
      <c r="HZ39" s="140"/>
      <c r="IA39" s="140"/>
      <c r="IB39" s="140"/>
      <c r="IC39" s="140"/>
      <c r="ID39" s="140"/>
      <c r="IE39" s="140"/>
      <c r="IF39" s="140"/>
      <c r="IG39" s="140"/>
      <c r="IH39" s="140"/>
      <c r="II39" s="140"/>
      <c r="IJ39" s="140"/>
      <c r="IK39" s="140"/>
      <c r="IL39" s="140"/>
      <c r="IM39" s="140"/>
      <c r="IN39" s="140"/>
      <c r="IO39" s="140"/>
      <c r="IP39" s="140"/>
      <c r="IQ39" s="140"/>
    </row>
    <row r="40" ht="34.5" customHeight="1" spans="1:251">
      <c r="A40" s="303" t="s">
        <v>180</v>
      </c>
      <c r="B40" s="303"/>
      <c r="C40" s="304" t="s">
        <v>181</v>
      </c>
      <c r="D40" s="305">
        <f>D42+D44+D46</f>
        <v>0</v>
      </c>
      <c r="E40" s="305"/>
      <c r="F40" s="305">
        <f>F42+F44+F46</f>
        <v>0</v>
      </c>
      <c r="G40" s="305"/>
      <c r="H40" s="305">
        <f>H42+H44+H46</f>
        <v>0</v>
      </c>
      <c r="I40" s="305"/>
      <c r="J40" s="305">
        <f>SUM(D40:I40)</f>
        <v>0</v>
      </c>
      <c r="K40" s="305"/>
      <c r="L40" s="305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0"/>
      <c r="FL40" s="140"/>
      <c r="FM40" s="140"/>
      <c r="FN40" s="140"/>
      <c r="FO40" s="140"/>
      <c r="FP40" s="140"/>
      <c r="FQ40" s="140"/>
      <c r="FR40" s="140"/>
      <c r="FS40" s="140"/>
      <c r="FT40" s="140"/>
      <c r="FU40" s="140"/>
      <c r="FV40" s="140"/>
      <c r="FW40" s="140"/>
      <c r="FX40" s="140"/>
      <c r="FY40" s="140"/>
      <c r="FZ40" s="140"/>
      <c r="GA40" s="140"/>
      <c r="GB40" s="140"/>
      <c r="GC40" s="140"/>
      <c r="GD40" s="140"/>
      <c r="GE40" s="140"/>
      <c r="GF40" s="140"/>
      <c r="GG40" s="140"/>
      <c r="GH40" s="140"/>
      <c r="GI40" s="140"/>
      <c r="GJ40" s="140"/>
      <c r="GK40" s="140"/>
      <c r="GL40" s="140"/>
      <c r="GM40" s="140"/>
      <c r="GN40" s="140"/>
      <c r="GO40" s="140"/>
      <c r="GP40" s="140"/>
      <c r="GQ40" s="140"/>
      <c r="GR40" s="140"/>
      <c r="GS40" s="140"/>
      <c r="GT40" s="140"/>
      <c r="GU40" s="140"/>
      <c r="GV40" s="140"/>
      <c r="GW40" s="140"/>
      <c r="GX40" s="140"/>
      <c r="GY40" s="140"/>
      <c r="GZ40" s="140"/>
      <c r="HA40" s="140"/>
      <c r="HB40" s="140"/>
      <c r="HC40" s="140"/>
      <c r="HD40" s="140"/>
      <c r="HE40" s="140"/>
      <c r="HF40" s="140"/>
      <c r="HG40" s="140"/>
      <c r="HH40" s="140"/>
      <c r="HI40" s="140"/>
      <c r="HJ40" s="140"/>
      <c r="HK40" s="140"/>
      <c r="HL40" s="140"/>
      <c r="HM40" s="140"/>
      <c r="HN40" s="140"/>
      <c r="HO40" s="140"/>
      <c r="HP40" s="140"/>
      <c r="HQ40" s="140"/>
      <c r="HR40" s="140"/>
      <c r="HS40" s="140"/>
      <c r="HT40" s="140"/>
      <c r="HU40" s="140"/>
      <c r="HV40" s="140"/>
      <c r="HW40" s="140"/>
      <c r="HX40" s="140"/>
      <c r="HY40" s="140"/>
      <c r="HZ40" s="140"/>
      <c r="IA40" s="140"/>
      <c r="IB40" s="140"/>
      <c r="IC40" s="140"/>
      <c r="ID40" s="140"/>
      <c r="IE40" s="140"/>
      <c r="IF40" s="140"/>
      <c r="IG40" s="140"/>
      <c r="IH40" s="140"/>
      <c r="II40" s="140"/>
      <c r="IJ40" s="140"/>
      <c r="IK40" s="140"/>
      <c r="IL40" s="140"/>
      <c r="IM40" s="140"/>
      <c r="IN40" s="140"/>
      <c r="IO40" s="140"/>
      <c r="IP40" s="140"/>
      <c r="IQ40" s="140"/>
    </row>
    <row r="41" ht="37.5" spans="1:251">
      <c r="A41" s="303" t="s">
        <v>182</v>
      </c>
      <c r="B41" s="303" t="s">
        <v>183</v>
      </c>
      <c r="C41" s="304">
        <v>29</v>
      </c>
      <c r="D41" s="309" t="str">
        <f>IF(D35&lt;0,"",IF(D36&gt;20%,"","普通住宅增值率不超过20%的土地增值税减免"))</f>
        <v/>
      </c>
      <c r="E41" s="309"/>
      <c r="F41" s="309"/>
      <c r="G41" s="309"/>
      <c r="H41" s="309"/>
      <c r="I41" s="309"/>
      <c r="J41" s="305"/>
      <c r="K41" s="305"/>
      <c r="L41" s="305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0"/>
      <c r="FW41" s="140"/>
      <c r="FX41" s="140"/>
      <c r="FY41" s="140"/>
      <c r="FZ41" s="140"/>
      <c r="GA41" s="140"/>
      <c r="GB41" s="140"/>
      <c r="GC41" s="140"/>
      <c r="GD41" s="140"/>
      <c r="GE41" s="140"/>
      <c r="GF41" s="140"/>
      <c r="GG41" s="140"/>
      <c r="GH41" s="140"/>
      <c r="GI41" s="140"/>
      <c r="GJ41" s="140"/>
      <c r="GK41" s="140"/>
      <c r="GL41" s="140"/>
      <c r="GM41" s="140"/>
      <c r="GN41" s="140"/>
      <c r="GO41" s="140"/>
      <c r="GP41" s="140"/>
      <c r="GQ41" s="140"/>
      <c r="GR41" s="140"/>
      <c r="GS41" s="140"/>
      <c r="GT41" s="140"/>
      <c r="GU41" s="140"/>
      <c r="GV41" s="140"/>
      <c r="GW41" s="140"/>
      <c r="GX41" s="140"/>
      <c r="GY41" s="140"/>
      <c r="GZ41" s="140"/>
      <c r="HA41" s="140"/>
      <c r="HB41" s="140"/>
      <c r="HC41" s="140"/>
      <c r="HD41" s="140"/>
      <c r="HE41" s="140"/>
      <c r="HF41" s="140"/>
      <c r="HG41" s="140"/>
      <c r="HH41" s="140"/>
      <c r="HI41" s="140"/>
      <c r="HJ41" s="140"/>
      <c r="HK41" s="140"/>
      <c r="HL41" s="140"/>
      <c r="HM41" s="140"/>
      <c r="HN41" s="140"/>
      <c r="HO41" s="140"/>
      <c r="HP41" s="140"/>
      <c r="HQ41" s="140"/>
      <c r="HR41" s="140"/>
      <c r="HS41" s="140"/>
      <c r="HT41" s="140"/>
      <c r="HU41" s="140"/>
      <c r="HV41" s="140"/>
      <c r="HW41" s="140"/>
      <c r="HX41" s="140"/>
      <c r="HY41" s="140"/>
      <c r="HZ41" s="140"/>
      <c r="IA41" s="140"/>
      <c r="IB41" s="140"/>
      <c r="IC41" s="140"/>
      <c r="ID41" s="140"/>
      <c r="IE41" s="140"/>
      <c r="IF41" s="140"/>
      <c r="IG41" s="140"/>
      <c r="IH41" s="140"/>
      <c r="II41" s="140"/>
      <c r="IJ41" s="140"/>
      <c r="IK41" s="140"/>
      <c r="IL41" s="140"/>
      <c r="IM41" s="140"/>
      <c r="IN41" s="140"/>
      <c r="IO41" s="140"/>
      <c r="IP41" s="140"/>
      <c r="IQ41" s="140"/>
    </row>
    <row r="42" ht="34.5" customHeight="1" spans="1:251">
      <c r="A42" s="303"/>
      <c r="B42" s="303" t="s">
        <v>184</v>
      </c>
      <c r="C42" s="304">
        <v>30</v>
      </c>
      <c r="D42" s="309">
        <f>IF(D35&lt;0,0,IF(D36&gt;20%,0,ROUND(D35*D37,2)))</f>
        <v>0</v>
      </c>
      <c r="E42" s="309"/>
      <c r="F42" s="309">
        <v>0</v>
      </c>
      <c r="G42" s="309"/>
      <c r="H42" s="309">
        <v>0</v>
      </c>
      <c r="I42" s="309"/>
      <c r="J42" s="305">
        <f>SUM(D42:I42)</f>
        <v>0</v>
      </c>
      <c r="K42" s="305"/>
      <c r="L42" s="305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0"/>
      <c r="FF42" s="140"/>
      <c r="FG42" s="140"/>
      <c r="FH42" s="140"/>
      <c r="FI42" s="140"/>
      <c r="FJ42" s="140"/>
      <c r="FK42" s="140"/>
      <c r="FL42" s="140"/>
      <c r="FM42" s="140"/>
      <c r="FN42" s="140"/>
      <c r="FO42" s="140"/>
      <c r="FP42" s="140"/>
      <c r="FQ42" s="140"/>
      <c r="FR42" s="140"/>
      <c r="FS42" s="140"/>
      <c r="FT42" s="140"/>
      <c r="FU42" s="140"/>
      <c r="FV42" s="140"/>
      <c r="FW42" s="140"/>
      <c r="FX42" s="140"/>
      <c r="FY42" s="140"/>
      <c r="FZ42" s="140"/>
      <c r="GA42" s="140"/>
      <c r="GB42" s="140"/>
      <c r="GC42" s="140"/>
      <c r="GD42" s="140"/>
      <c r="GE42" s="140"/>
      <c r="GF42" s="140"/>
      <c r="GG42" s="140"/>
      <c r="GH42" s="140"/>
      <c r="GI42" s="140"/>
      <c r="GJ42" s="140"/>
      <c r="GK42" s="140"/>
      <c r="GL42" s="140"/>
      <c r="GM42" s="140"/>
      <c r="GN42" s="140"/>
      <c r="GO42" s="140"/>
      <c r="GP42" s="140"/>
      <c r="GQ42" s="140"/>
      <c r="GR42" s="140"/>
      <c r="GS42" s="140"/>
      <c r="GT42" s="140"/>
      <c r="GU42" s="140"/>
      <c r="GV42" s="140"/>
      <c r="GW42" s="140"/>
      <c r="GX42" s="140"/>
      <c r="GY42" s="140"/>
      <c r="GZ42" s="140"/>
      <c r="HA42" s="140"/>
      <c r="HB42" s="140"/>
      <c r="HC42" s="140"/>
      <c r="HD42" s="140"/>
      <c r="HE42" s="140"/>
      <c r="HF42" s="140"/>
      <c r="HG42" s="140"/>
      <c r="HH42" s="140"/>
      <c r="HI42" s="140"/>
      <c r="HJ42" s="140"/>
      <c r="HK42" s="140"/>
      <c r="HL42" s="140"/>
      <c r="HM42" s="140"/>
      <c r="HN42" s="140"/>
      <c r="HO42" s="140"/>
      <c r="HP42" s="140"/>
      <c r="HQ42" s="140"/>
      <c r="HR42" s="140"/>
      <c r="HS42" s="140"/>
      <c r="HT42" s="140"/>
      <c r="HU42" s="140"/>
      <c r="HV42" s="140"/>
      <c r="HW42" s="140"/>
      <c r="HX42" s="140"/>
      <c r="HY42" s="140"/>
      <c r="HZ42" s="140"/>
      <c r="IA42" s="140"/>
      <c r="IB42" s="140"/>
      <c r="IC42" s="140"/>
      <c r="ID42" s="140"/>
      <c r="IE42" s="140"/>
      <c r="IF42" s="140"/>
      <c r="IG42" s="140"/>
      <c r="IH42" s="140"/>
      <c r="II42" s="140"/>
      <c r="IJ42" s="140"/>
      <c r="IK42" s="140"/>
      <c r="IL42" s="140"/>
      <c r="IM42" s="140"/>
      <c r="IN42" s="140"/>
      <c r="IO42" s="140"/>
      <c r="IP42" s="140"/>
      <c r="IQ42" s="140"/>
    </row>
    <row r="43" ht="37.5" spans="1:251">
      <c r="A43" s="303" t="s">
        <v>185</v>
      </c>
      <c r="B43" s="303" t="s">
        <v>186</v>
      </c>
      <c r="C43" s="304">
        <v>31</v>
      </c>
      <c r="D43" s="309"/>
      <c r="E43" s="309"/>
      <c r="F43" s="310"/>
      <c r="G43" s="310"/>
      <c r="H43" s="309"/>
      <c r="I43" s="309"/>
      <c r="J43" s="305"/>
      <c r="K43" s="305"/>
      <c r="L43" s="305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0"/>
      <c r="ES43" s="140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0"/>
      <c r="FF43" s="140"/>
      <c r="FG43" s="140"/>
      <c r="FH43" s="140"/>
      <c r="FI43" s="140"/>
      <c r="FJ43" s="140"/>
      <c r="FK43" s="140"/>
      <c r="FL43" s="140"/>
      <c r="FM43" s="140"/>
      <c r="FN43" s="140"/>
      <c r="FO43" s="140"/>
      <c r="FP43" s="140"/>
      <c r="FQ43" s="140"/>
      <c r="FR43" s="140"/>
      <c r="FS43" s="140"/>
      <c r="FT43" s="140"/>
      <c r="FU43" s="140"/>
      <c r="FV43" s="140"/>
      <c r="FW43" s="140"/>
      <c r="FX43" s="140"/>
      <c r="FY43" s="140"/>
      <c r="FZ43" s="140"/>
      <c r="GA43" s="140"/>
      <c r="GB43" s="140"/>
      <c r="GC43" s="140"/>
      <c r="GD43" s="140"/>
      <c r="GE43" s="140"/>
      <c r="GF43" s="140"/>
      <c r="GG43" s="140"/>
      <c r="GH43" s="140"/>
      <c r="GI43" s="140"/>
      <c r="GJ43" s="140"/>
      <c r="GK43" s="140"/>
      <c r="GL43" s="140"/>
      <c r="GM43" s="140"/>
      <c r="GN43" s="140"/>
      <c r="GO43" s="140"/>
      <c r="GP43" s="140"/>
      <c r="GQ43" s="140"/>
      <c r="GR43" s="140"/>
      <c r="GS43" s="140"/>
      <c r="GT43" s="140"/>
      <c r="GU43" s="140"/>
      <c r="GV43" s="140"/>
      <c r="GW43" s="140"/>
      <c r="GX43" s="140"/>
      <c r="GY43" s="140"/>
      <c r="GZ43" s="140"/>
      <c r="HA43" s="140"/>
      <c r="HB43" s="140"/>
      <c r="HC43" s="140"/>
      <c r="HD43" s="140"/>
      <c r="HE43" s="140"/>
      <c r="HF43" s="140"/>
      <c r="HG43" s="140"/>
      <c r="HH43" s="140"/>
      <c r="HI43" s="140"/>
      <c r="HJ43" s="140"/>
      <c r="HK43" s="140"/>
      <c r="HL43" s="140"/>
      <c r="HM43" s="140"/>
      <c r="HN43" s="140"/>
      <c r="HO43" s="140"/>
      <c r="HP43" s="140"/>
      <c r="HQ43" s="140"/>
      <c r="HR43" s="140"/>
      <c r="HS43" s="140"/>
      <c r="HT43" s="140"/>
      <c r="HU43" s="140"/>
      <c r="HV43" s="140"/>
      <c r="HW43" s="140"/>
      <c r="HX43" s="140"/>
      <c r="HY43" s="140"/>
      <c r="HZ43" s="140"/>
      <c r="IA43" s="140"/>
      <c r="IB43" s="140"/>
      <c r="IC43" s="140"/>
      <c r="ID43" s="140"/>
      <c r="IE43" s="140"/>
      <c r="IF43" s="140"/>
      <c r="IG43" s="140"/>
      <c r="IH43" s="140"/>
      <c r="II43" s="140"/>
      <c r="IJ43" s="140"/>
      <c r="IK43" s="140"/>
      <c r="IL43" s="140"/>
      <c r="IM43" s="140"/>
      <c r="IN43" s="140"/>
      <c r="IO43" s="140"/>
      <c r="IP43" s="140"/>
      <c r="IQ43" s="140"/>
    </row>
    <row r="44" ht="34.5" customHeight="1" spans="1:251">
      <c r="A44" s="303"/>
      <c r="B44" s="303" t="s">
        <v>187</v>
      </c>
      <c r="C44" s="304">
        <v>32</v>
      </c>
      <c r="D44" s="309">
        <v>0</v>
      </c>
      <c r="E44" s="309"/>
      <c r="F44" s="309">
        <v>0</v>
      </c>
      <c r="G44" s="309"/>
      <c r="H44" s="309">
        <v>0</v>
      </c>
      <c r="I44" s="309"/>
      <c r="J44" s="305">
        <f>SUM(D44:I44)</f>
        <v>0</v>
      </c>
      <c r="K44" s="305"/>
      <c r="L44" s="305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40"/>
      <c r="FF44" s="140"/>
      <c r="FG44" s="140"/>
      <c r="FH44" s="140"/>
      <c r="FI44" s="140"/>
      <c r="FJ44" s="140"/>
      <c r="FK44" s="140"/>
      <c r="FL44" s="140"/>
      <c r="FM44" s="140"/>
      <c r="FN44" s="140"/>
      <c r="FO44" s="140"/>
      <c r="FP44" s="140"/>
      <c r="FQ44" s="140"/>
      <c r="FR44" s="140"/>
      <c r="FS44" s="140"/>
      <c r="FT44" s="140"/>
      <c r="FU44" s="140"/>
      <c r="FV44" s="140"/>
      <c r="FW44" s="140"/>
      <c r="FX44" s="140"/>
      <c r="FY44" s="140"/>
      <c r="FZ44" s="140"/>
      <c r="GA44" s="140"/>
      <c r="GB44" s="140"/>
      <c r="GC44" s="140"/>
      <c r="GD44" s="140"/>
      <c r="GE44" s="140"/>
      <c r="GF44" s="140"/>
      <c r="GG44" s="140"/>
      <c r="GH44" s="140"/>
      <c r="GI44" s="140"/>
      <c r="GJ44" s="140"/>
      <c r="GK44" s="140"/>
      <c r="GL44" s="140"/>
      <c r="GM44" s="140"/>
      <c r="GN44" s="140"/>
      <c r="GO44" s="140"/>
      <c r="GP44" s="140"/>
      <c r="GQ44" s="140"/>
      <c r="GR44" s="140"/>
      <c r="GS44" s="140"/>
      <c r="GT44" s="140"/>
      <c r="GU44" s="140"/>
      <c r="GV44" s="140"/>
      <c r="GW44" s="140"/>
      <c r="GX44" s="140"/>
      <c r="GY44" s="140"/>
      <c r="GZ44" s="140"/>
      <c r="HA44" s="140"/>
      <c r="HB44" s="140"/>
      <c r="HC44" s="140"/>
      <c r="HD44" s="140"/>
      <c r="HE44" s="140"/>
      <c r="HF44" s="140"/>
      <c r="HG44" s="140"/>
      <c r="HH44" s="140"/>
      <c r="HI44" s="140"/>
      <c r="HJ44" s="140"/>
      <c r="HK44" s="140"/>
      <c r="HL44" s="140"/>
      <c r="HM44" s="140"/>
      <c r="HN44" s="140"/>
      <c r="HO44" s="140"/>
      <c r="HP44" s="140"/>
      <c r="HQ44" s="140"/>
      <c r="HR44" s="140"/>
      <c r="HS44" s="140"/>
      <c r="HT44" s="140"/>
      <c r="HU44" s="140"/>
      <c r="HV44" s="140"/>
      <c r="HW44" s="140"/>
      <c r="HX44" s="140"/>
      <c r="HY44" s="140"/>
      <c r="HZ44" s="140"/>
      <c r="IA44" s="140"/>
      <c r="IB44" s="140"/>
      <c r="IC44" s="140"/>
      <c r="ID44" s="140"/>
      <c r="IE44" s="140"/>
      <c r="IF44" s="140"/>
      <c r="IG44" s="140"/>
      <c r="IH44" s="140"/>
      <c r="II44" s="140"/>
      <c r="IJ44" s="140"/>
      <c r="IK44" s="140"/>
      <c r="IL44" s="140"/>
      <c r="IM44" s="140"/>
      <c r="IN44" s="140"/>
      <c r="IO44" s="140"/>
      <c r="IP44" s="140"/>
      <c r="IQ44" s="140"/>
    </row>
    <row r="45" ht="37.5" spans="1:251">
      <c r="A45" s="303" t="s">
        <v>188</v>
      </c>
      <c r="B45" s="303" t="s">
        <v>189</v>
      </c>
      <c r="C45" s="304">
        <v>33</v>
      </c>
      <c r="D45" s="309"/>
      <c r="E45" s="309"/>
      <c r="F45" s="310"/>
      <c r="G45" s="310"/>
      <c r="H45" s="309"/>
      <c r="I45" s="309"/>
      <c r="J45" s="305"/>
      <c r="K45" s="305"/>
      <c r="L45" s="305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40"/>
      <c r="GG45" s="140"/>
      <c r="GH45" s="140"/>
      <c r="GI45" s="140"/>
      <c r="GJ45" s="140"/>
      <c r="GK45" s="140"/>
      <c r="GL45" s="140"/>
      <c r="GM45" s="140"/>
      <c r="GN45" s="140"/>
      <c r="GO45" s="140"/>
      <c r="GP45" s="140"/>
      <c r="GQ45" s="140"/>
      <c r="GR45" s="140"/>
      <c r="GS45" s="140"/>
      <c r="GT45" s="140"/>
      <c r="GU45" s="140"/>
      <c r="GV45" s="140"/>
      <c r="GW45" s="140"/>
      <c r="GX45" s="140"/>
      <c r="GY45" s="140"/>
      <c r="GZ45" s="140"/>
      <c r="HA45" s="140"/>
      <c r="HB45" s="140"/>
      <c r="HC45" s="140"/>
      <c r="HD45" s="140"/>
      <c r="HE45" s="140"/>
      <c r="HF45" s="140"/>
      <c r="HG45" s="140"/>
      <c r="HH45" s="140"/>
      <c r="HI45" s="140"/>
      <c r="HJ45" s="140"/>
      <c r="HK45" s="140"/>
      <c r="HL45" s="140"/>
      <c r="HM45" s="140"/>
      <c r="HN45" s="140"/>
      <c r="HO45" s="140"/>
      <c r="HP45" s="140"/>
      <c r="HQ45" s="140"/>
      <c r="HR45" s="140"/>
      <c r="HS45" s="140"/>
      <c r="HT45" s="140"/>
      <c r="HU45" s="140"/>
      <c r="HV45" s="140"/>
      <c r="HW45" s="140"/>
      <c r="HX45" s="140"/>
      <c r="HY45" s="140"/>
      <c r="HZ45" s="140"/>
      <c r="IA45" s="140"/>
      <c r="IB45" s="140"/>
      <c r="IC45" s="140"/>
      <c r="ID45" s="140"/>
      <c r="IE45" s="140"/>
      <c r="IF45" s="140"/>
      <c r="IG45" s="140"/>
      <c r="IH45" s="140"/>
      <c r="II45" s="140"/>
      <c r="IJ45" s="140"/>
      <c r="IK45" s="140"/>
      <c r="IL45" s="140"/>
      <c r="IM45" s="140"/>
      <c r="IN45" s="140"/>
      <c r="IO45" s="140"/>
      <c r="IP45" s="140"/>
      <c r="IQ45" s="140"/>
    </row>
    <row r="46" ht="34.5" customHeight="1" spans="1:251">
      <c r="A46" s="303"/>
      <c r="B46" s="303" t="s">
        <v>190</v>
      </c>
      <c r="C46" s="304">
        <v>34</v>
      </c>
      <c r="D46" s="309">
        <v>0</v>
      </c>
      <c r="E46" s="309"/>
      <c r="F46" s="309">
        <v>0</v>
      </c>
      <c r="G46" s="309"/>
      <c r="H46" s="309">
        <v>0</v>
      </c>
      <c r="I46" s="309"/>
      <c r="J46" s="305">
        <f>SUM(D46:I46)</f>
        <v>0</v>
      </c>
      <c r="K46" s="305"/>
      <c r="L46" s="305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0"/>
      <c r="FF46" s="140"/>
      <c r="FG46" s="140"/>
      <c r="FH46" s="140"/>
      <c r="FI46" s="140"/>
      <c r="FJ46" s="140"/>
      <c r="FK46" s="140"/>
      <c r="FL46" s="140"/>
      <c r="FM46" s="140"/>
      <c r="FN46" s="140"/>
      <c r="FO46" s="140"/>
      <c r="FP46" s="140"/>
      <c r="FQ46" s="140"/>
      <c r="FR46" s="140"/>
      <c r="FS46" s="140"/>
      <c r="FT46" s="140"/>
      <c r="FU46" s="140"/>
      <c r="FV46" s="140"/>
      <c r="FW46" s="140"/>
      <c r="FX46" s="140"/>
      <c r="FY46" s="140"/>
      <c r="FZ46" s="140"/>
      <c r="GA46" s="140"/>
      <c r="GB46" s="140"/>
      <c r="GC46" s="140"/>
      <c r="GD46" s="140"/>
      <c r="GE46" s="140"/>
      <c r="GF46" s="140"/>
      <c r="GG46" s="140"/>
      <c r="GH46" s="140"/>
      <c r="GI46" s="140"/>
      <c r="GJ46" s="140"/>
      <c r="GK46" s="140"/>
      <c r="GL46" s="140"/>
      <c r="GM46" s="140"/>
      <c r="GN46" s="140"/>
      <c r="GO46" s="140"/>
      <c r="GP46" s="140"/>
      <c r="GQ46" s="140"/>
      <c r="GR46" s="140"/>
      <c r="GS46" s="140"/>
      <c r="GT46" s="140"/>
      <c r="GU46" s="140"/>
      <c r="GV46" s="140"/>
      <c r="GW46" s="140"/>
      <c r="GX46" s="140"/>
      <c r="GY46" s="140"/>
      <c r="GZ46" s="140"/>
      <c r="HA46" s="140"/>
      <c r="HB46" s="140"/>
      <c r="HC46" s="140"/>
      <c r="HD46" s="140"/>
      <c r="HE46" s="140"/>
      <c r="HF46" s="140"/>
      <c r="HG46" s="140"/>
      <c r="HH46" s="140"/>
      <c r="HI46" s="140"/>
      <c r="HJ46" s="140"/>
      <c r="HK46" s="140"/>
      <c r="HL46" s="140"/>
      <c r="HM46" s="140"/>
      <c r="HN46" s="140"/>
      <c r="HO46" s="140"/>
      <c r="HP46" s="140"/>
      <c r="HQ46" s="140"/>
      <c r="HR46" s="140"/>
      <c r="HS46" s="140"/>
      <c r="HT46" s="140"/>
      <c r="HU46" s="140"/>
      <c r="HV46" s="140"/>
      <c r="HW46" s="140"/>
      <c r="HX46" s="140"/>
      <c r="HY46" s="140"/>
      <c r="HZ46" s="140"/>
      <c r="IA46" s="140"/>
      <c r="IB46" s="140"/>
      <c r="IC46" s="140"/>
      <c r="ID46" s="140"/>
      <c r="IE46" s="140"/>
      <c r="IF46" s="140"/>
      <c r="IG46" s="140"/>
      <c r="IH46" s="140"/>
      <c r="II46" s="140"/>
      <c r="IJ46" s="140"/>
      <c r="IK46" s="140"/>
      <c r="IL46" s="140"/>
      <c r="IM46" s="140"/>
      <c r="IN46" s="140"/>
      <c r="IO46" s="140"/>
      <c r="IP46" s="140"/>
      <c r="IQ46" s="140"/>
    </row>
    <row r="47" ht="34.5" customHeight="1" spans="1:251">
      <c r="A47" s="303" t="s">
        <v>191</v>
      </c>
      <c r="B47" s="303"/>
      <c r="C47" s="304">
        <v>35</v>
      </c>
      <c r="D47" s="309" t="s">
        <v>192</v>
      </c>
      <c r="E47" s="309"/>
      <c r="F47" s="310" t="s">
        <v>192</v>
      </c>
      <c r="G47" s="310"/>
      <c r="H47" s="309" t="s">
        <v>192</v>
      </c>
      <c r="I47" s="309"/>
      <c r="J47" s="305">
        <f>SUM(D47:I47)</f>
        <v>0</v>
      </c>
      <c r="K47" s="305"/>
      <c r="L47" s="305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0"/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0"/>
      <c r="FH47" s="140"/>
      <c r="FI47" s="140"/>
      <c r="FJ47" s="140"/>
      <c r="FK47" s="140"/>
      <c r="FL47" s="140"/>
      <c r="FM47" s="140"/>
      <c r="FN47" s="140"/>
      <c r="FO47" s="140"/>
      <c r="FP47" s="140"/>
      <c r="FQ47" s="140"/>
      <c r="FR47" s="140"/>
      <c r="FS47" s="140"/>
      <c r="FT47" s="140"/>
      <c r="FU47" s="140"/>
      <c r="FV47" s="140"/>
      <c r="FW47" s="140"/>
      <c r="FX47" s="140"/>
      <c r="FY47" s="140"/>
      <c r="FZ47" s="140"/>
      <c r="GA47" s="140"/>
      <c r="GB47" s="140"/>
      <c r="GC47" s="140"/>
      <c r="GD47" s="140"/>
      <c r="GE47" s="140"/>
      <c r="GF47" s="140"/>
      <c r="GG47" s="140"/>
      <c r="GH47" s="140"/>
      <c r="GI47" s="140"/>
      <c r="GJ47" s="140"/>
      <c r="GK47" s="140"/>
      <c r="GL47" s="140"/>
      <c r="GM47" s="140"/>
      <c r="GN47" s="140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0"/>
      <c r="HE47" s="140"/>
      <c r="HF47" s="140"/>
      <c r="HG47" s="140"/>
      <c r="HH47" s="140"/>
      <c r="HI47" s="140"/>
      <c r="HJ47" s="140"/>
      <c r="HK47" s="140"/>
      <c r="HL47" s="140"/>
      <c r="HM47" s="140"/>
      <c r="HN47" s="140"/>
      <c r="HO47" s="140"/>
      <c r="HP47" s="140"/>
      <c r="HQ47" s="140"/>
      <c r="HR47" s="140"/>
      <c r="HS47" s="140"/>
      <c r="HT47" s="140"/>
      <c r="HU47" s="140"/>
      <c r="HV47" s="140"/>
      <c r="HW47" s="140"/>
      <c r="HX47" s="140"/>
      <c r="HY47" s="140"/>
      <c r="HZ47" s="140"/>
      <c r="IA47" s="140"/>
      <c r="IB47" s="140"/>
      <c r="IC47" s="140"/>
      <c r="ID47" s="140"/>
      <c r="IE47" s="140"/>
      <c r="IF47" s="140"/>
      <c r="IG47" s="140"/>
      <c r="IH47" s="140"/>
      <c r="II47" s="140"/>
      <c r="IJ47" s="140"/>
      <c r="IK47" s="140"/>
      <c r="IL47" s="140"/>
      <c r="IM47" s="140"/>
      <c r="IN47" s="140"/>
      <c r="IO47" s="140"/>
      <c r="IP47" s="140"/>
      <c r="IQ47" s="140"/>
    </row>
    <row r="48" ht="34.5" customHeight="1" spans="1:251">
      <c r="A48" s="303" t="s">
        <v>193</v>
      </c>
      <c r="B48" s="303"/>
      <c r="C48" s="304" t="s">
        <v>194</v>
      </c>
      <c r="D48" s="305">
        <f>SUM(D39)-SUM(D40)-SUM(D47)</f>
        <v>0</v>
      </c>
      <c r="E48" s="305"/>
      <c r="F48" s="305">
        <f t="shared" ref="F48" si="6">SUM(F39)-SUM(F40)-SUM(F47)</f>
        <v>0</v>
      </c>
      <c r="G48" s="305"/>
      <c r="H48" s="305">
        <f t="shared" ref="H48" si="7">SUM(H39)-SUM(H40)-SUM(H47)</f>
        <v>0</v>
      </c>
      <c r="I48" s="305"/>
      <c r="J48" s="305">
        <f>SUM(D48:I48)</f>
        <v>0</v>
      </c>
      <c r="K48" s="305"/>
      <c r="L48" s="305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0"/>
      <c r="EP48" s="140"/>
      <c r="EQ48" s="140"/>
      <c r="ER48" s="140"/>
      <c r="ES48" s="140"/>
      <c r="ET48" s="140"/>
      <c r="EU48" s="140"/>
      <c r="EV48" s="140"/>
      <c r="EW48" s="140"/>
      <c r="EX48" s="140"/>
      <c r="EY48" s="140"/>
      <c r="EZ48" s="140"/>
      <c r="FA48" s="140"/>
      <c r="FB48" s="140"/>
      <c r="FC48" s="140"/>
      <c r="FD48" s="140"/>
      <c r="FE48" s="140"/>
      <c r="FF48" s="140"/>
      <c r="FG48" s="140"/>
      <c r="FH48" s="140"/>
      <c r="FI48" s="140"/>
      <c r="FJ48" s="140"/>
      <c r="FK48" s="140"/>
      <c r="FL48" s="140"/>
      <c r="FM48" s="140"/>
      <c r="FN48" s="140"/>
      <c r="FO48" s="140"/>
      <c r="FP48" s="140"/>
      <c r="FQ48" s="140"/>
      <c r="FR48" s="140"/>
      <c r="FS48" s="140"/>
      <c r="FT48" s="140"/>
      <c r="FU48" s="140"/>
      <c r="FV48" s="140"/>
      <c r="FW48" s="140"/>
      <c r="FX48" s="140"/>
      <c r="FY48" s="140"/>
      <c r="FZ48" s="140"/>
      <c r="GA48" s="140"/>
      <c r="GB48" s="140"/>
      <c r="GC48" s="140"/>
      <c r="GD48" s="140"/>
      <c r="GE48" s="140"/>
      <c r="GF48" s="140"/>
      <c r="GG48" s="140"/>
      <c r="GH48" s="140"/>
      <c r="GI48" s="140"/>
      <c r="GJ48" s="140"/>
      <c r="GK48" s="140"/>
      <c r="GL48" s="140"/>
      <c r="GM48" s="140"/>
      <c r="GN48" s="140"/>
      <c r="GO48" s="140"/>
      <c r="GP48" s="140"/>
      <c r="GQ48" s="140"/>
      <c r="GR48" s="140"/>
      <c r="GS48" s="140"/>
      <c r="GT48" s="140"/>
      <c r="GU48" s="140"/>
      <c r="GV48" s="140"/>
      <c r="GW48" s="140"/>
      <c r="GX48" s="140"/>
      <c r="GY48" s="140"/>
      <c r="GZ48" s="140"/>
      <c r="HA48" s="140"/>
      <c r="HB48" s="140"/>
      <c r="HC48" s="140"/>
      <c r="HD48" s="140"/>
      <c r="HE48" s="140"/>
      <c r="HF48" s="140"/>
      <c r="HG48" s="140"/>
      <c r="HH48" s="140"/>
      <c r="HI48" s="140"/>
      <c r="HJ48" s="140"/>
      <c r="HK48" s="140"/>
      <c r="HL48" s="140"/>
      <c r="HM48" s="140"/>
      <c r="HN48" s="140"/>
      <c r="HO48" s="140"/>
      <c r="HP48" s="140"/>
      <c r="HQ48" s="140"/>
      <c r="HR48" s="140"/>
      <c r="HS48" s="140"/>
      <c r="HT48" s="140"/>
      <c r="HU48" s="140"/>
      <c r="HV48" s="140"/>
      <c r="HW48" s="140"/>
      <c r="HX48" s="140"/>
      <c r="HY48" s="140"/>
      <c r="HZ48" s="140"/>
      <c r="IA48" s="140"/>
      <c r="IB48" s="140"/>
      <c r="IC48" s="140"/>
      <c r="ID48" s="140"/>
      <c r="IE48" s="140"/>
      <c r="IF48" s="140"/>
      <c r="IG48" s="140"/>
      <c r="IH48" s="140"/>
      <c r="II48" s="140"/>
      <c r="IJ48" s="140"/>
      <c r="IK48" s="140"/>
      <c r="IL48" s="140"/>
      <c r="IM48" s="140"/>
      <c r="IN48" s="140"/>
      <c r="IO48" s="140"/>
      <c r="IP48" s="140"/>
      <c r="IQ48" s="140"/>
    </row>
  </sheetData>
  <sheetProtection sheet="1" formatCells="0" formatColumns="0" formatRows="0" objects="1"/>
  <mergeCells count="212">
    <mergeCell ref="A1:L1"/>
    <mergeCell ref="B2:L2"/>
    <mergeCell ref="B3:L3"/>
    <mergeCell ref="B4:F4"/>
    <mergeCell ref="G4:J4"/>
    <mergeCell ref="K4:L4"/>
    <mergeCell ref="B5:E5"/>
    <mergeCell ref="F5:G5"/>
    <mergeCell ref="H5:L5"/>
    <mergeCell ref="B6:E6"/>
    <mergeCell ref="F6:G6"/>
    <mergeCell ref="H6:L6"/>
    <mergeCell ref="B7:E7"/>
    <mergeCell ref="G7:L7"/>
    <mergeCell ref="D8:E8"/>
    <mergeCell ref="G8:H8"/>
    <mergeCell ref="J8:L8"/>
    <mergeCell ref="D9:E9"/>
    <mergeCell ref="G9:H9"/>
    <mergeCell ref="J9:L9"/>
    <mergeCell ref="A10:B10"/>
    <mergeCell ref="D10:E10"/>
    <mergeCell ref="F10:G10"/>
    <mergeCell ref="H10:I10"/>
    <mergeCell ref="J10:L10"/>
    <mergeCell ref="A11:B11"/>
    <mergeCell ref="D11:E11"/>
    <mergeCell ref="F11:G11"/>
    <mergeCell ref="H11:I11"/>
    <mergeCell ref="J11:L11"/>
    <mergeCell ref="A12:B12"/>
    <mergeCell ref="D12:E12"/>
    <mergeCell ref="F12:G12"/>
    <mergeCell ref="H12:I12"/>
    <mergeCell ref="J12:L12"/>
    <mergeCell ref="A13:B13"/>
    <mergeCell ref="D13:E13"/>
    <mergeCell ref="F13:G13"/>
    <mergeCell ref="H13:I13"/>
    <mergeCell ref="J13:L13"/>
    <mergeCell ref="A14:B14"/>
    <mergeCell ref="D14:E14"/>
    <mergeCell ref="F14:G14"/>
    <mergeCell ref="H14:I14"/>
    <mergeCell ref="J14:L14"/>
    <mergeCell ref="A15:B15"/>
    <mergeCell ref="D15:E15"/>
    <mergeCell ref="F15:G15"/>
    <mergeCell ref="H15:I15"/>
    <mergeCell ref="J15:L15"/>
    <mergeCell ref="A16:B16"/>
    <mergeCell ref="D16:E16"/>
    <mergeCell ref="F16:G16"/>
    <mergeCell ref="H16:I16"/>
    <mergeCell ref="J16:L16"/>
    <mergeCell ref="A17:B17"/>
    <mergeCell ref="D17:E17"/>
    <mergeCell ref="F17:G17"/>
    <mergeCell ref="H17:I17"/>
    <mergeCell ref="J17:L17"/>
    <mergeCell ref="A18:B18"/>
    <mergeCell ref="D18:E18"/>
    <mergeCell ref="F18:G18"/>
    <mergeCell ref="H18:I18"/>
    <mergeCell ref="J18:L18"/>
    <mergeCell ref="A19:B19"/>
    <mergeCell ref="D19:E19"/>
    <mergeCell ref="F19:G19"/>
    <mergeCell ref="H19:I19"/>
    <mergeCell ref="J19:L19"/>
    <mergeCell ref="A20:B20"/>
    <mergeCell ref="D20:E20"/>
    <mergeCell ref="F20:G20"/>
    <mergeCell ref="H20:I20"/>
    <mergeCell ref="J20:L20"/>
    <mergeCell ref="A21:B21"/>
    <mergeCell ref="D21:E21"/>
    <mergeCell ref="F21:G21"/>
    <mergeCell ref="H21:I21"/>
    <mergeCell ref="J21:L21"/>
    <mergeCell ref="A22:B22"/>
    <mergeCell ref="D22:E22"/>
    <mergeCell ref="F22:G22"/>
    <mergeCell ref="H22:I22"/>
    <mergeCell ref="J22:L22"/>
    <mergeCell ref="A23:B23"/>
    <mergeCell ref="D23:E23"/>
    <mergeCell ref="F23:G23"/>
    <mergeCell ref="H23:I23"/>
    <mergeCell ref="J23:L23"/>
    <mergeCell ref="A24:B24"/>
    <mergeCell ref="D24:E24"/>
    <mergeCell ref="F24:G24"/>
    <mergeCell ref="H24:I24"/>
    <mergeCell ref="J24:L24"/>
    <mergeCell ref="A25:B25"/>
    <mergeCell ref="D25:E25"/>
    <mergeCell ref="F25:G25"/>
    <mergeCell ref="H25:I25"/>
    <mergeCell ref="J25:L25"/>
    <mergeCell ref="A26:B26"/>
    <mergeCell ref="D26:E26"/>
    <mergeCell ref="F26:G26"/>
    <mergeCell ref="H26:I26"/>
    <mergeCell ref="J26:L26"/>
    <mergeCell ref="A27:B27"/>
    <mergeCell ref="D27:E27"/>
    <mergeCell ref="F27:G27"/>
    <mergeCell ref="H27:I27"/>
    <mergeCell ref="J27:L27"/>
    <mergeCell ref="A28:B28"/>
    <mergeCell ref="D28:E28"/>
    <mergeCell ref="F28:G28"/>
    <mergeCell ref="H28:I28"/>
    <mergeCell ref="J28:L28"/>
    <mergeCell ref="A29:B29"/>
    <mergeCell ref="D29:E29"/>
    <mergeCell ref="F29:G29"/>
    <mergeCell ref="H29:I29"/>
    <mergeCell ref="J29:L29"/>
    <mergeCell ref="A30:B30"/>
    <mergeCell ref="D30:E30"/>
    <mergeCell ref="F30:G30"/>
    <mergeCell ref="H30:I30"/>
    <mergeCell ref="J30:L30"/>
    <mergeCell ref="A31:B31"/>
    <mergeCell ref="D31:E31"/>
    <mergeCell ref="F31:G31"/>
    <mergeCell ref="H31:I31"/>
    <mergeCell ref="J31:L31"/>
    <mergeCell ref="A32:B32"/>
    <mergeCell ref="D32:E32"/>
    <mergeCell ref="F32:G32"/>
    <mergeCell ref="H32:I32"/>
    <mergeCell ref="J32:L32"/>
    <mergeCell ref="A33:B33"/>
    <mergeCell ref="D33:E33"/>
    <mergeCell ref="F33:G33"/>
    <mergeCell ref="H33:I33"/>
    <mergeCell ref="J33:L33"/>
    <mergeCell ref="A34:B34"/>
    <mergeCell ref="D34:E34"/>
    <mergeCell ref="F34:G34"/>
    <mergeCell ref="H34:I34"/>
    <mergeCell ref="J34:L34"/>
    <mergeCell ref="A35:B35"/>
    <mergeCell ref="D35:E35"/>
    <mergeCell ref="F35:G35"/>
    <mergeCell ref="H35:I35"/>
    <mergeCell ref="J35:L35"/>
    <mergeCell ref="A36:B36"/>
    <mergeCell ref="D36:E36"/>
    <mergeCell ref="F36:G36"/>
    <mergeCell ref="H36:I36"/>
    <mergeCell ref="J36:L36"/>
    <mergeCell ref="A37:B37"/>
    <mergeCell ref="D37:E37"/>
    <mergeCell ref="F37:G37"/>
    <mergeCell ref="H37:I37"/>
    <mergeCell ref="J37:L37"/>
    <mergeCell ref="A38:B38"/>
    <mergeCell ref="D38:E38"/>
    <mergeCell ref="F38:G38"/>
    <mergeCell ref="H38:I38"/>
    <mergeCell ref="J38:L38"/>
    <mergeCell ref="A39:B39"/>
    <mergeCell ref="D39:E39"/>
    <mergeCell ref="F39:G39"/>
    <mergeCell ref="H39:I39"/>
    <mergeCell ref="J39:L39"/>
    <mergeCell ref="A40:B40"/>
    <mergeCell ref="D40:E40"/>
    <mergeCell ref="F40:G40"/>
    <mergeCell ref="H40:I40"/>
    <mergeCell ref="J40:L40"/>
    <mergeCell ref="D41:E41"/>
    <mergeCell ref="F41:G41"/>
    <mergeCell ref="H41:I41"/>
    <mergeCell ref="J41:L41"/>
    <mergeCell ref="D42:E42"/>
    <mergeCell ref="F42:G42"/>
    <mergeCell ref="H42:I42"/>
    <mergeCell ref="J42:L42"/>
    <mergeCell ref="D43:E43"/>
    <mergeCell ref="F43:G43"/>
    <mergeCell ref="H43:I43"/>
    <mergeCell ref="J43:L43"/>
    <mergeCell ref="D44:E44"/>
    <mergeCell ref="F44:G44"/>
    <mergeCell ref="H44:I44"/>
    <mergeCell ref="J44:L44"/>
    <mergeCell ref="D45:E45"/>
    <mergeCell ref="F45:G45"/>
    <mergeCell ref="H45:I45"/>
    <mergeCell ref="J45:L45"/>
    <mergeCell ref="D46:E46"/>
    <mergeCell ref="F46:G46"/>
    <mergeCell ref="H46:I46"/>
    <mergeCell ref="J46:L46"/>
    <mergeCell ref="A47:B47"/>
    <mergeCell ref="D47:E47"/>
    <mergeCell ref="F47:G47"/>
    <mergeCell ref="H47:I47"/>
    <mergeCell ref="J47:L47"/>
    <mergeCell ref="A48:B48"/>
    <mergeCell ref="D48:E48"/>
    <mergeCell ref="F48:G48"/>
    <mergeCell ref="H48:I48"/>
    <mergeCell ref="J48:L48"/>
    <mergeCell ref="A41:A42"/>
    <mergeCell ref="A43:A44"/>
    <mergeCell ref="A45:A46"/>
  </mergeCells>
  <dataValidations count="1">
    <dataValidation type="list" allowBlank="1" showInputMessage="1" showErrorMessage="1" sqref="H6:L6">
      <formula1>"二分法,三分法"</formula1>
    </dataValidation>
  </dataValidations>
  <printOptions horizontalCentered="1"/>
  <pageMargins left="0.747916666666667" right="0.747916666666667" top="0.747916666666667" bottom="0.747916666666667" header="0.313888888888889" footer="0.313888888888889"/>
  <pageSetup paperSize="9" scale="54" fitToHeight="0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O38"/>
  <sheetViews>
    <sheetView zoomScale="107" zoomScaleNormal="107" workbookViewId="0">
      <selection activeCell="A1" sqref="$A1:$XFD1048576"/>
    </sheetView>
  </sheetViews>
  <sheetFormatPr defaultColWidth="2.375" defaultRowHeight="14.25"/>
  <cols>
    <col min="1" max="1" width="4.125" style="253" customWidth="1"/>
    <col min="2" max="2" width="25" style="253"/>
    <col min="3" max="3" width="4.375" style="253" customWidth="1"/>
    <col min="4" max="4" width="13" style="254" customWidth="1"/>
    <col min="5" max="5" width="15.125" style="254" customWidth="1"/>
    <col min="6" max="6" width="13.625" style="254" customWidth="1"/>
    <col min="7" max="7" width="12.125" style="254" customWidth="1"/>
    <col min="8" max="8" width="14.875" style="254" customWidth="1"/>
    <col min="9" max="9" width="14.125" style="254" customWidth="1"/>
    <col min="10" max="10" width="14.5" style="254" customWidth="1"/>
    <col min="11" max="11" width="9.125" style="253" customWidth="1"/>
    <col min="12" max="13" width="2.375" style="253" customWidth="1"/>
    <col min="14" max="16384" width="2.375" style="253"/>
  </cols>
  <sheetData>
    <row r="1" ht="31.5" spans="1:24">
      <c r="A1" s="255" t="str">
        <f>目录!A5&amp;目录!B5</f>
        <v>T21000附表1-面积统计表</v>
      </c>
      <c r="B1" s="255"/>
      <c r="C1" s="255"/>
      <c r="D1" s="256"/>
      <c r="E1" s="256"/>
      <c r="F1" s="256"/>
      <c r="G1" s="256"/>
      <c r="H1" s="256"/>
      <c r="I1" s="256"/>
      <c r="J1" s="256"/>
      <c r="K1" s="255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ht="25.5" customHeight="1" spans="1:249">
      <c r="A2" s="257" t="str">
        <f>土地增值税税源明细表!F5&amp;"："&amp;土地增值税税源明细表!H5&amp;"          "&amp;土地增值税税源明细表!A5&amp;"："&amp;土地增值税税源明细表!B5&amp;"          "&amp;"面积单位：㎡"</f>
        <v>项目编码：          项目名称：          面积单位：㎡</v>
      </c>
      <c r="B2" s="257"/>
      <c r="C2" s="257"/>
      <c r="D2" s="258"/>
      <c r="E2" s="258"/>
      <c r="F2" s="258"/>
      <c r="G2" s="258"/>
      <c r="H2" s="258"/>
      <c r="I2" s="258"/>
      <c r="J2" s="258"/>
      <c r="K2" s="257"/>
      <c r="L2" s="134"/>
      <c r="M2" s="134"/>
      <c r="N2" s="134"/>
      <c r="O2" s="134"/>
      <c r="P2" s="140"/>
      <c r="Q2" s="140"/>
      <c r="R2" s="140"/>
      <c r="S2" s="140"/>
      <c r="T2" s="140"/>
      <c r="U2" s="140"/>
      <c r="V2" s="140"/>
      <c r="W2" s="140"/>
      <c r="X2" s="140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  <c r="DG2" s="286"/>
      <c r="DH2" s="286"/>
      <c r="DI2" s="286"/>
      <c r="DJ2" s="286"/>
      <c r="DK2" s="286"/>
      <c r="DL2" s="286"/>
      <c r="DM2" s="286"/>
      <c r="DN2" s="286"/>
      <c r="DO2" s="286"/>
      <c r="DP2" s="286"/>
      <c r="DQ2" s="286"/>
      <c r="DR2" s="286"/>
      <c r="DS2" s="286"/>
      <c r="DT2" s="286"/>
      <c r="DU2" s="286"/>
      <c r="DV2" s="286"/>
      <c r="DW2" s="286"/>
      <c r="DX2" s="286"/>
      <c r="DY2" s="286"/>
      <c r="DZ2" s="286"/>
      <c r="EA2" s="286"/>
      <c r="EB2" s="286"/>
      <c r="EC2" s="286"/>
      <c r="ED2" s="286"/>
      <c r="EE2" s="286"/>
      <c r="EF2" s="286"/>
      <c r="EG2" s="286"/>
      <c r="EH2" s="286"/>
      <c r="EI2" s="286"/>
      <c r="EJ2" s="286"/>
      <c r="EK2" s="286"/>
      <c r="EL2" s="286"/>
      <c r="EM2" s="286"/>
      <c r="EN2" s="286"/>
      <c r="EO2" s="286"/>
      <c r="EP2" s="286"/>
      <c r="EQ2" s="286"/>
      <c r="ER2" s="286"/>
      <c r="ES2" s="286"/>
      <c r="ET2" s="286"/>
      <c r="EU2" s="286"/>
      <c r="EV2" s="286"/>
      <c r="EW2" s="286"/>
      <c r="EX2" s="286"/>
      <c r="EY2" s="286"/>
      <c r="EZ2" s="286"/>
      <c r="FA2" s="286"/>
      <c r="FB2" s="286"/>
      <c r="FC2" s="286"/>
      <c r="FD2" s="286"/>
      <c r="FE2" s="286"/>
      <c r="FF2" s="286"/>
      <c r="FG2" s="286"/>
      <c r="FH2" s="286"/>
      <c r="FI2" s="286"/>
      <c r="FJ2" s="286"/>
      <c r="FK2" s="286"/>
      <c r="FL2" s="286"/>
      <c r="FM2" s="286"/>
      <c r="FN2" s="286"/>
      <c r="FO2" s="286"/>
      <c r="FP2" s="286"/>
      <c r="FQ2" s="286"/>
      <c r="FR2" s="286"/>
      <c r="FS2" s="286"/>
      <c r="FT2" s="286"/>
      <c r="FU2" s="286"/>
      <c r="FV2" s="286"/>
      <c r="FW2" s="286"/>
      <c r="FX2" s="286"/>
      <c r="FY2" s="286"/>
      <c r="FZ2" s="286"/>
      <c r="GA2" s="286"/>
      <c r="GB2" s="286"/>
      <c r="GC2" s="286"/>
      <c r="GD2" s="286"/>
      <c r="GE2" s="286"/>
      <c r="GF2" s="286"/>
      <c r="GG2" s="286"/>
      <c r="GH2" s="286"/>
      <c r="GI2" s="286"/>
      <c r="GJ2" s="286"/>
      <c r="GK2" s="286"/>
      <c r="GL2" s="286"/>
      <c r="GM2" s="286"/>
      <c r="GN2" s="286"/>
      <c r="GO2" s="286"/>
      <c r="GP2" s="286"/>
      <c r="GQ2" s="286"/>
      <c r="GR2" s="286"/>
      <c r="GS2" s="286"/>
      <c r="GT2" s="286"/>
      <c r="GU2" s="286"/>
      <c r="GV2" s="286"/>
      <c r="GW2" s="286"/>
      <c r="GX2" s="286"/>
      <c r="GY2" s="286"/>
      <c r="GZ2" s="286"/>
      <c r="HA2" s="286"/>
      <c r="HB2" s="286"/>
      <c r="HC2" s="286"/>
      <c r="HD2" s="286"/>
      <c r="HE2" s="286"/>
      <c r="HF2" s="286"/>
      <c r="HG2" s="286"/>
      <c r="HH2" s="286"/>
      <c r="HI2" s="286"/>
      <c r="HJ2" s="286"/>
      <c r="HK2" s="286"/>
      <c r="HL2" s="286"/>
      <c r="HM2" s="286"/>
      <c r="HN2" s="286"/>
      <c r="HO2" s="286"/>
      <c r="HP2" s="286"/>
      <c r="HQ2" s="286"/>
      <c r="HR2" s="286"/>
      <c r="HS2" s="286"/>
      <c r="HT2" s="286"/>
      <c r="HU2" s="286"/>
      <c r="HV2" s="286"/>
      <c r="HW2" s="286"/>
      <c r="HX2" s="286"/>
      <c r="HY2" s="286"/>
      <c r="HZ2" s="286"/>
      <c r="IA2" s="286"/>
      <c r="IB2" s="286"/>
      <c r="IC2" s="286"/>
      <c r="ID2" s="286"/>
      <c r="IE2" s="286"/>
      <c r="IF2" s="286"/>
      <c r="IG2" s="286"/>
      <c r="IH2" s="286"/>
      <c r="II2" s="286"/>
      <c r="IJ2" s="286"/>
      <c r="IK2" s="286"/>
      <c r="IL2" s="286"/>
      <c r="IM2" s="286"/>
      <c r="IN2" s="286"/>
      <c r="IO2" s="286"/>
    </row>
    <row r="3" ht="24" spans="1:13">
      <c r="A3" s="259" t="s">
        <v>195</v>
      </c>
      <c r="B3" s="260" t="s">
        <v>196</v>
      </c>
      <c r="C3" s="260" t="s">
        <v>67</v>
      </c>
      <c r="D3" s="89" t="s">
        <v>197</v>
      </c>
      <c r="E3" s="89" t="s">
        <v>198</v>
      </c>
      <c r="F3" s="89" t="s">
        <v>199</v>
      </c>
      <c r="G3" s="89" t="s">
        <v>200</v>
      </c>
      <c r="H3" s="89" t="s">
        <v>201</v>
      </c>
      <c r="I3" s="89" t="s">
        <v>202</v>
      </c>
      <c r="J3" s="89" t="s">
        <v>203</v>
      </c>
      <c r="K3" s="269" t="s">
        <v>204</v>
      </c>
      <c r="M3" s="273"/>
    </row>
    <row r="4" ht="24" spans="1:13">
      <c r="A4" s="261"/>
      <c r="B4" s="262"/>
      <c r="C4" s="262"/>
      <c r="D4" s="360" t="s">
        <v>205</v>
      </c>
      <c r="E4" s="360" t="s">
        <v>206</v>
      </c>
      <c r="F4" s="360" t="s">
        <v>207</v>
      </c>
      <c r="G4" s="360" t="s">
        <v>208</v>
      </c>
      <c r="H4" s="360" t="s">
        <v>209</v>
      </c>
      <c r="I4" s="360" t="s">
        <v>210</v>
      </c>
      <c r="J4" s="360" t="s">
        <v>211</v>
      </c>
      <c r="K4" s="361" t="s">
        <v>212</v>
      </c>
      <c r="M4" s="273"/>
    </row>
    <row r="5" spans="1:16">
      <c r="A5" s="261"/>
      <c r="B5" s="263" t="str">
        <f>数据对照表!A2</f>
        <v>普通住宅</v>
      </c>
      <c r="C5" s="362" t="s">
        <v>213</v>
      </c>
      <c r="D5" s="265">
        <f>SUMIFS('附表6-收入明细采集底稿'!P:P,'附表6-收入明细采集底稿'!G:G,数据对照表!A2)</f>
        <v>0</v>
      </c>
      <c r="E5" s="265">
        <f>SUMIFS('附表6-收入明细采集底稿'!P:P,'附表6-收入明细采集底稿'!G:G,数据对照表!A2,'附表6-收入明细采集底稿'!H:H,"不可售")</f>
        <v>0</v>
      </c>
      <c r="F5" s="265">
        <f>SUM(SUMIFS('附表6-收入明细采集底稿'!P:P,'附表6-收入明细采集底稿'!G:G,数据对照表!A2,'附表6-收入明细采集底稿'!H:H,{"已售","出租","自用","未售"}))</f>
        <v>0</v>
      </c>
      <c r="G5" s="265">
        <f>SUMIFS('附表6-收入明细采集底稿'!P:P,'附表6-收入明细采集底稿'!G:G,数据对照表!A2,'附表6-收入明细采集底稿'!H:H,"已售")</f>
        <v>0</v>
      </c>
      <c r="H5" s="265">
        <f>F5-G5</f>
        <v>0</v>
      </c>
      <c r="I5" s="265">
        <f>SUMIFS('附表6-收入明细采集底稿'!P:P,'附表6-收入明细采集底稿'!G:G,数据对照表!A2,'附表6-收入明细采集底稿'!H:H,"自用")</f>
        <v>0</v>
      </c>
      <c r="J5" s="265">
        <f>SUMIFS('附表6-收入明细采集底稿'!P:P,'附表6-收入明细采集底稿'!G:G,数据对照表!A2,'附表6-收入明细采集底稿'!H:H,"出租")</f>
        <v>0</v>
      </c>
      <c r="K5" s="275"/>
      <c r="L5" s="276"/>
      <c r="M5" s="277"/>
      <c r="N5" s="276"/>
      <c r="O5" s="276"/>
      <c r="P5" s="276"/>
    </row>
    <row r="6" spans="1:16">
      <c r="A6" s="261"/>
      <c r="B6" s="263" t="str">
        <f>数据对照表!A3</f>
        <v>非普通住宅</v>
      </c>
      <c r="C6" s="362" t="s">
        <v>206</v>
      </c>
      <c r="D6" s="265">
        <f>SUMIFS('附表6-收入明细采集底稿'!P:P,'附表6-收入明细采集底稿'!G:G,数据对照表!A3)</f>
        <v>0</v>
      </c>
      <c r="E6" s="265">
        <f>SUMIFS('附表6-收入明细采集底稿'!P:P,'附表6-收入明细采集底稿'!G:G,数据对照表!A3,'附表6-收入明细采集底稿'!H:H,"不可售")</f>
        <v>0</v>
      </c>
      <c r="F6" s="265">
        <f>SUM(SUMIFS('附表6-收入明细采集底稿'!P:P,'附表6-收入明细采集底稿'!G:G,数据对照表!A3,'附表6-收入明细采集底稿'!H:H,{"已售","出租","自用","未售"}))</f>
        <v>0</v>
      </c>
      <c r="G6" s="265">
        <f>SUMIFS('附表6-收入明细采集底稿'!P:P,'附表6-收入明细采集底稿'!G:G,数据对照表!A3,'附表6-收入明细采集底稿'!H:H,"已售")</f>
        <v>0</v>
      </c>
      <c r="H6" s="265">
        <f t="shared" ref="H6:H11" si="0">F6-G6</f>
        <v>0</v>
      </c>
      <c r="I6" s="265">
        <f>SUMIFS('附表6-收入明细采集底稿'!P:P,'附表6-收入明细采集底稿'!G:G,数据对照表!A3,'附表6-收入明细采集底稿'!H:H,"自用")</f>
        <v>0</v>
      </c>
      <c r="J6" s="265">
        <f>SUMIFS('附表6-收入明细采集底稿'!P:P,'附表6-收入明细采集底稿'!G:G,数据对照表!A3,'附表6-收入明细采集底稿'!H:H,"出租")</f>
        <v>0</v>
      </c>
      <c r="K6" s="275"/>
      <c r="L6" s="276"/>
      <c r="M6" s="277"/>
      <c r="N6" s="276"/>
      <c r="O6" s="276"/>
      <c r="P6" s="276"/>
    </row>
    <row r="7" spans="1:16">
      <c r="A7" s="261"/>
      <c r="B7" s="263" t="s">
        <v>140</v>
      </c>
      <c r="C7" s="362" t="s">
        <v>207</v>
      </c>
      <c r="D7" s="265">
        <f>SUM(D8:D12)</f>
        <v>0</v>
      </c>
      <c r="E7" s="265">
        <f t="shared" ref="E7:J7" si="1">SUM(E8:E12)</f>
        <v>0</v>
      </c>
      <c r="F7" s="265">
        <f t="shared" si="1"/>
        <v>0</v>
      </c>
      <c r="G7" s="265">
        <f t="shared" si="1"/>
        <v>0</v>
      </c>
      <c r="H7" s="265">
        <f t="shared" si="1"/>
        <v>0</v>
      </c>
      <c r="I7" s="265">
        <f t="shared" si="1"/>
        <v>0</v>
      </c>
      <c r="J7" s="265">
        <f t="shared" si="1"/>
        <v>0</v>
      </c>
      <c r="K7" s="275"/>
      <c r="L7" s="276"/>
      <c r="M7" s="277"/>
      <c r="N7" s="276"/>
      <c r="O7" s="276"/>
      <c r="P7" s="276"/>
    </row>
    <row r="8" spans="1:16">
      <c r="A8" s="261"/>
      <c r="B8" s="266" t="str">
        <f>"其中："&amp;数据对照表!A4</f>
        <v>其中：商业用房</v>
      </c>
      <c r="C8" s="362" t="s">
        <v>208</v>
      </c>
      <c r="D8" s="265">
        <f>SUMIFS('附表6-收入明细采集底稿'!P:P,'附表6-收入明细采集底稿'!G:G,数据对照表!A4)</f>
        <v>0</v>
      </c>
      <c r="E8" s="265">
        <f>SUMIFS('附表6-收入明细采集底稿'!P:P,'附表6-收入明细采集底稿'!G:G,数据对照表!A4,'附表6-收入明细采集底稿'!H:H,"不可售")</f>
        <v>0</v>
      </c>
      <c r="F8" s="265">
        <f>SUM(SUMIFS('附表6-收入明细采集底稿'!P:P,'附表6-收入明细采集底稿'!G:G,数据对照表!A4,'附表6-收入明细采集底稿'!H:H,{"已售","出租","自用","未售"}))</f>
        <v>0</v>
      </c>
      <c r="G8" s="265">
        <f>SUMIFS('附表6-收入明细采集底稿'!P:P,'附表6-收入明细采集底稿'!G:G,数据对照表!A4,'附表6-收入明细采集底稿'!H:H,"已售")</f>
        <v>0</v>
      </c>
      <c r="H8" s="265">
        <f t="shared" si="0"/>
        <v>0</v>
      </c>
      <c r="I8" s="265">
        <f>SUMIFS('附表6-收入明细采集底稿'!P:P,'附表6-收入明细采集底稿'!G:G,数据对照表!A4,'附表6-收入明细采集底稿'!H:H,"自用")</f>
        <v>0</v>
      </c>
      <c r="J8" s="265">
        <f>SUMIFS('附表6-收入明细采集底稿'!P:P,'附表6-收入明细采集底稿'!G:G,数据对照表!A4,'附表6-收入明细采集底稿'!H:H,"出租")</f>
        <v>0</v>
      </c>
      <c r="K8" s="275"/>
      <c r="L8" s="276"/>
      <c r="M8" s="276"/>
      <c r="N8" s="276"/>
      <c r="O8" s="276"/>
      <c r="P8" s="276"/>
    </row>
    <row r="9" spans="1:16">
      <c r="A9" s="261"/>
      <c r="B9" s="266" t="str">
        <f>"      "&amp;数据对照表!A5</f>
        <v>      办公用房</v>
      </c>
      <c r="C9" s="362" t="s">
        <v>214</v>
      </c>
      <c r="D9" s="265">
        <f>SUMIFS('附表6-收入明细采集底稿'!P:P,'附表6-收入明细采集底稿'!G:G,数据对照表!A5)</f>
        <v>0</v>
      </c>
      <c r="E9" s="265">
        <f>SUMIFS('附表6-收入明细采集底稿'!P:P,'附表6-收入明细采集底稿'!G:G,数据对照表!A5,'附表6-收入明细采集底稿'!H:H,"不可售")</f>
        <v>0</v>
      </c>
      <c r="F9" s="265">
        <f>SUM(SUMIFS('附表6-收入明细采集底稿'!P:P,'附表6-收入明细采集底稿'!G:G,数据对照表!A5,'附表6-收入明细采集底稿'!H:H,{"已售","出租","自用","未售"}))</f>
        <v>0</v>
      </c>
      <c r="G9" s="265">
        <f>SUMIFS('附表6-收入明细采集底稿'!P:P,'附表6-收入明细采集底稿'!G:G,数据对照表!A5,'附表6-收入明细采集底稿'!H:H,"已售")</f>
        <v>0</v>
      </c>
      <c r="H9" s="265">
        <f t="shared" si="0"/>
        <v>0</v>
      </c>
      <c r="I9" s="265">
        <f>SUMIFS('附表6-收入明细采集底稿'!P:P,'附表6-收入明细采集底稿'!G:G,数据对照表!A5,'附表6-收入明细采集底稿'!H:H,"自用")</f>
        <v>0</v>
      </c>
      <c r="J9" s="265">
        <f>SUMIFS('附表6-收入明细采集底稿'!P:P,'附表6-收入明细采集底稿'!G:G,数据对照表!A5,'附表6-收入明细采集底稿'!H:H,"出租")</f>
        <v>0</v>
      </c>
      <c r="K9" s="275"/>
      <c r="L9" s="276"/>
      <c r="M9" s="276"/>
      <c r="N9" s="276"/>
      <c r="O9" s="276"/>
      <c r="P9" s="276"/>
    </row>
    <row r="10" spans="1:16">
      <c r="A10" s="261"/>
      <c r="B10" s="266" t="str">
        <f>"      "&amp;数据对照表!A6</f>
        <v>      车位车库</v>
      </c>
      <c r="C10" s="362" t="s">
        <v>210</v>
      </c>
      <c r="D10" s="265">
        <f>SUMIFS('附表6-收入明细采集底稿'!P:P,'附表6-收入明细采集底稿'!G:G,数据对照表!A6)</f>
        <v>0</v>
      </c>
      <c r="E10" s="265">
        <f>SUMIFS('附表6-收入明细采集底稿'!P:P,'附表6-收入明细采集底稿'!G:G,数据对照表!A6,'附表6-收入明细采集底稿'!H:H,"不可售")</f>
        <v>0</v>
      </c>
      <c r="F10" s="265">
        <f>SUM(SUMIFS('附表6-收入明细采集底稿'!P:P,'附表6-收入明细采集底稿'!G:G,数据对照表!A6,'附表6-收入明细采集底稿'!H:H,{"已售","出租","自用","未售"}))</f>
        <v>0</v>
      </c>
      <c r="G10" s="265">
        <f>SUMIFS('附表6-收入明细采集底稿'!P:P,'附表6-收入明细采集底稿'!G:G,数据对照表!A6,'附表6-收入明细采集底稿'!H:H,"已售")</f>
        <v>0</v>
      </c>
      <c r="H10" s="265">
        <f t="shared" si="0"/>
        <v>0</v>
      </c>
      <c r="I10" s="265">
        <f>SUMIFS('附表6-收入明细采集底稿'!P:P,'附表6-收入明细采集底稿'!G:G,数据对照表!A6,'附表6-收入明细采集底稿'!H:H,"自用")</f>
        <v>0</v>
      </c>
      <c r="J10" s="265">
        <f>SUMIFS('附表6-收入明细采集底稿'!P:P,'附表6-收入明细采集底稿'!G:G,数据对照表!A6,'附表6-收入明细采集底稿'!H:H,"出租")</f>
        <v>0</v>
      </c>
      <c r="K10" s="275"/>
      <c r="L10" s="276"/>
      <c r="M10" s="276"/>
      <c r="N10" s="276"/>
      <c r="O10" s="276"/>
      <c r="P10" s="276"/>
    </row>
    <row r="11" spans="1:16">
      <c r="A11" s="261"/>
      <c r="B11" s="266" t="str">
        <f>"      "&amp;数据对照表!A7</f>
        <v>      其他营业性房产</v>
      </c>
      <c r="C11" s="362" t="s">
        <v>211</v>
      </c>
      <c r="D11" s="265">
        <f>SUMIFS('附表6-收入明细采集底稿'!P:P,'附表6-收入明细采集底稿'!G:G,数据对照表!A7)</f>
        <v>0</v>
      </c>
      <c r="E11" s="265">
        <f>SUMIFS('附表6-收入明细采集底稿'!P:P,'附表6-收入明细采集底稿'!G:G,数据对照表!A7,'附表6-收入明细采集底稿'!H:H,"不可售")</f>
        <v>0</v>
      </c>
      <c r="F11" s="265">
        <f>SUM(SUMIFS('附表6-收入明细采集底稿'!P:P,'附表6-收入明细采集底稿'!G:G,数据对照表!A7,'附表6-收入明细采集底稿'!H:H,{"已售","出租","自用","未售"}))</f>
        <v>0</v>
      </c>
      <c r="G11" s="265">
        <f>SUMIFS('附表6-收入明细采集底稿'!P:P,'附表6-收入明细采集底稿'!G:G,数据对照表!A7,'附表6-收入明细采集底稿'!H:H,"已售")</f>
        <v>0</v>
      </c>
      <c r="H11" s="265">
        <f t="shared" si="0"/>
        <v>0</v>
      </c>
      <c r="I11" s="265">
        <f>SUMIFS('附表6-收入明细采集底稿'!P:P,'附表6-收入明细采集底稿'!G:G,数据对照表!A7,'附表6-收入明细采集底稿'!H:H,"自用")</f>
        <v>0</v>
      </c>
      <c r="J11" s="265">
        <f>SUMIFS('附表6-收入明细采集底稿'!P:P,'附表6-收入明细采集底稿'!G:G,数据对照表!A7,'附表6-收入明细采集底稿'!H:H,"出租")</f>
        <v>0</v>
      </c>
      <c r="K11" s="275"/>
      <c r="L11" s="276"/>
      <c r="M11" s="276"/>
      <c r="N11" s="276"/>
      <c r="O11" s="276"/>
      <c r="P11" s="276"/>
    </row>
    <row r="12" spans="1:16">
      <c r="A12" s="261"/>
      <c r="B12" s="266" t="str">
        <f>"      "&amp;"非营业性房产"</f>
        <v>      非营业性房产</v>
      </c>
      <c r="C12" s="362" t="s">
        <v>212</v>
      </c>
      <c r="D12" s="265">
        <f>SUM(D13:D28)</f>
        <v>0</v>
      </c>
      <c r="E12" s="265">
        <f t="shared" ref="E12:J12" si="2">SUM(E13:E28)</f>
        <v>0</v>
      </c>
      <c r="F12" s="265">
        <f t="shared" si="2"/>
        <v>0</v>
      </c>
      <c r="G12" s="265">
        <f t="shared" si="2"/>
        <v>0</v>
      </c>
      <c r="H12" s="265">
        <f t="shared" si="2"/>
        <v>0</v>
      </c>
      <c r="I12" s="265">
        <f t="shared" si="2"/>
        <v>0</v>
      </c>
      <c r="J12" s="265">
        <f t="shared" si="2"/>
        <v>0</v>
      </c>
      <c r="K12" s="275"/>
      <c r="L12" s="276"/>
      <c r="M12" s="276"/>
      <c r="N12" s="276"/>
      <c r="O12" s="276"/>
      <c r="P12" s="276"/>
    </row>
    <row r="13" spans="1:16">
      <c r="A13" s="261"/>
      <c r="B13" s="267" t="str">
        <f>"      其中："&amp;数据对照表!A8</f>
        <v>      其中：居委会用房</v>
      </c>
      <c r="C13" s="362" t="s">
        <v>215</v>
      </c>
      <c r="D13" s="265">
        <f>SUMIFS('附表6-收入明细采集底稿'!P:P,'附表6-收入明细采集底稿'!G:G,数据对照表!A8)</f>
        <v>0</v>
      </c>
      <c r="E13" s="265">
        <f>SUMIFS('附表6-收入明细采集底稿'!P:P,'附表6-收入明细采集底稿'!G:G,数据对照表!A8,'附表6-收入明细采集底稿'!H:H,"不可售")</f>
        <v>0</v>
      </c>
      <c r="F13" s="265">
        <f>SUM(SUMIFS('附表6-收入明细采集底稿'!P:P,'附表6-收入明细采集底稿'!G:G,数据对照表!A8,'附表6-收入明细采集底稿'!H:H,{"已售","出租","自用","未售"}))</f>
        <v>0</v>
      </c>
      <c r="G13" s="265">
        <f>SUMIFS('附表6-收入明细采集底稿'!P:P,'附表6-收入明细采集底稿'!G:G,数据对照表!A8,'附表6-收入明细采集底稿'!H:H,"已售")</f>
        <v>0</v>
      </c>
      <c r="H13" s="265">
        <f t="shared" ref="H13:H17" si="3">F13-G13</f>
        <v>0</v>
      </c>
      <c r="I13" s="265">
        <f>SUMIFS('附表6-收入明细采集底稿'!P:P,'附表6-收入明细采集底稿'!G:G,数据对照表!A8,'附表6-收入明细采集底稿'!H:H,"自用")</f>
        <v>0</v>
      </c>
      <c r="J13" s="265">
        <f>SUMIFS('附表6-收入明细采集底稿'!P:P,'附表6-收入明细采集底稿'!G:G,数据对照表!A8,'附表6-收入明细采集底稿'!H:H,"出租")</f>
        <v>0</v>
      </c>
      <c r="K13" s="275"/>
      <c r="L13" s="276"/>
      <c r="M13" s="276"/>
      <c r="N13" s="276"/>
      <c r="O13" s="276"/>
      <c r="P13" s="276"/>
    </row>
    <row r="14" spans="1:16">
      <c r="A14" s="261"/>
      <c r="B14" s="267" t="str">
        <f>"            "&amp;数据对照表!A9</f>
        <v>            派出所用房</v>
      </c>
      <c r="C14" s="362" t="s">
        <v>216</v>
      </c>
      <c r="D14" s="265">
        <f>SUMIFS('附表6-收入明细采集底稿'!P:P,'附表6-收入明细采集底稿'!G:G,数据对照表!A9)</f>
        <v>0</v>
      </c>
      <c r="E14" s="265">
        <f>SUMIFS('附表6-收入明细采集底稿'!P:P,'附表6-收入明细采集底稿'!G:G,数据对照表!A9,'附表6-收入明细采集底稿'!H:H,"不可售")</f>
        <v>0</v>
      </c>
      <c r="F14" s="265">
        <f>SUM(SUMIFS('附表6-收入明细采集底稿'!P:P,'附表6-收入明细采集底稿'!G:G,数据对照表!A9,'附表6-收入明细采集底稿'!H:H,{"已售","出租","自用","未售"}))</f>
        <v>0</v>
      </c>
      <c r="G14" s="265">
        <f>SUMIFS('附表6-收入明细采集底稿'!P:P,'附表6-收入明细采集底稿'!G:G,数据对照表!A9,'附表6-收入明细采集底稿'!H:H,"已售")</f>
        <v>0</v>
      </c>
      <c r="H14" s="265">
        <f t="shared" si="3"/>
        <v>0</v>
      </c>
      <c r="I14" s="265">
        <f>SUMIFS('附表6-收入明细采集底稿'!P:P,'附表6-收入明细采集底稿'!G:G,数据对照表!A9,'附表6-收入明细采集底稿'!H:H,"自用")</f>
        <v>0</v>
      </c>
      <c r="J14" s="265">
        <f>SUMIFS('附表6-收入明细采集底稿'!P:P,'附表6-收入明细采集底稿'!G:G,数据对照表!A9,'附表6-收入明细采集底稿'!H:H,"出租")</f>
        <v>0</v>
      </c>
      <c r="K14" s="275"/>
      <c r="L14" s="276"/>
      <c r="M14" s="276"/>
      <c r="N14" s="276"/>
      <c r="O14" s="276"/>
      <c r="P14" s="276"/>
    </row>
    <row r="15" spans="1:16">
      <c r="A15" s="261"/>
      <c r="B15" s="267" t="str">
        <f>"            "&amp;数据对照表!A10</f>
        <v>            会所</v>
      </c>
      <c r="C15" s="362" t="s">
        <v>217</v>
      </c>
      <c r="D15" s="265">
        <f>SUMIFS('附表6-收入明细采集底稿'!P:P,'附表6-收入明细采集底稿'!G:G,数据对照表!A10)</f>
        <v>0</v>
      </c>
      <c r="E15" s="265">
        <f>SUMIFS('附表6-收入明细采集底稿'!P:P,'附表6-收入明细采集底稿'!G:G,数据对照表!A10,'附表6-收入明细采集底稿'!H:H,"不可售")</f>
        <v>0</v>
      </c>
      <c r="F15" s="265">
        <f>SUM(SUMIFS('附表6-收入明细采集底稿'!P:P,'附表6-收入明细采集底稿'!G:G,数据对照表!A10,'附表6-收入明细采集底稿'!H:H,{"已售","出租","自用","未售"}))</f>
        <v>0</v>
      </c>
      <c r="G15" s="265">
        <f>SUMIFS('附表6-收入明细采集底稿'!P:P,'附表6-收入明细采集底稿'!G:G,数据对照表!A10,'附表6-收入明细采集底稿'!H:H,"已售")</f>
        <v>0</v>
      </c>
      <c r="H15" s="265">
        <f t="shared" si="3"/>
        <v>0</v>
      </c>
      <c r="I15" s="265">
        <f>SUMIFS('附表6-收入明细采集底稿'!P:P,'附表6-收入明细采集底稿'!G:G,数据对照表!A10,'附表6-收入明细采集底稿'!H:H,"自用")</f>
        <v>0</v>
      </c>
      <c r="J15" s="265">
        <f>SUMIFS('附表6-收入明细采集底稿'!P:P,'附表6-收入明细采集底稿'!G:G,数据对照表!A10,'附表6-收入明细采集底稿'!H:H,"出租")</f>
        <v>0</v>
      </c>
      <c r="K15" s="275"/>
      <c r="L15" s="276"/>
      <c r="M15" s="276"/>
      <c r="N15" s="276"/>
      <c r="O15" s="276"/>
      <c r="P15" s="276"/>
    </row>
    <row r="16" spans="1:16">
      <c r="A16" s="261"/>
      <c r="B16" s="267" t="str">
        <f>"            "&amp;数据对照表!A11</f>
        <v>            非机动车库（场）</v>
      </c>
      <c r="C16" s="362" t="s">
        <v>218</v>
      </c>
      <c r="D16" s="265">
        <f>SUMIFS('附表6-收入明细采集底稿'!P:P,'附表6-收入明细采集底稿'!G:G,数据对照表!A11)</f>
        <v>0</v>
      </c>
      <c r="E16" s="265">
        <f>SUMIFS('附表6-收入明细采集底稿'!P:P,'附表6-收入明细采集底稿'!G:G,数据对照表!A11,'附表6-收入明细采集底稿'!H:H,"不可售")</f>
        <v>0</v>
      </c>
      <c r="F16" s="265">
        <f>SUM(SUMIFS('附表6-收入明细采集底稿'!P:P,'附表6-收入明细采集底稿'!G:G,数据对照表!A11,'附表6-收入明细采集底稿'!H:H,{"已售","出租","自用","未售"}))</f>
        <v>0</v>
      </c>
      <c r="G16" s="265">
        <f>SUMIFS('附表6-收入明细采集底稿'!P:P,'附表6-收入明细采集底稿'!G:G,数据对照表!A11,'附表6-收入明细采集底稿'!H:H,"已售")</f>
        <v>0</v>
      </c>
      <c r="H16" s="265">
        <f t="shared" si="3"/>
        <v>0</v>
      </c>
      <c r="I16" s="265">
        <f>SUMIFS('附表6-收入明细采集底稿'!P:P,'附表6-收入明细采集底稿'!G:G,数据对照表!A11,'附表6-收入明细采集底稿'!H:H,"自用")</f>
        <v>0</v>
      </c>
      <c r="J16" s="265">
        <f>SUMIFS('附表6-收入明细采集底稿'!P:P,'附表6-收入明细采集底稿'!G:G,数据对照表!A11,'附表6-收入明细采集底稿'!H:H,"出租")</f>
        <v>0</v>
      </c>
      <c r="K16" s="275"/>
      <c r="L16" s="276"/>
      <c r="M16" s="276"/>
      <c r="N16" s="276"/>
      <c r="O16" s="276"/>
      <c r="P16" s="276"/>
    </row>
    <row r="17" spans="1:11">
      <c r="A17" s="261"/>
      <c r="B17" s="267" t="str">
        <f>"            "&amp;数据对照表!A12</f>
        <v>            地下人防设施</v>
      </c>
      <c r="C17" s="362" t="s">
        <v>219</v>
      </c>
      <c r="D17" s="265">
        <f>SUMIFS('附表6-收入明细采集底稿'!P:P,'附表6-收入明细采集底稿'!G:G,数据对照表!A12)</f>
        <v>0</v>
      </c>
      <c r="E17" s="265">
        <f>SUMIFS('附表6-收入明细采集底稿'!P:P,'附表6-收入明细采集底稿'!G:G,数据对照表!A12,'附表6-收入明细采集底稿'!H:H,"不可售")</f>
        <v>0</v>
      </c>
      <c r="F17" s="265">
        <f>SUM(SUMIFS('附表6-收入明细采集底稿'!P:P,'附表6-收入明细采集底稿'!G:G,数据对照表!A12,'附表6-收入明细采集底稿'!H:H,{"已售","出租","自用","未售"}))</f>
        <v>0</v>
      </c>
      <c r="G17" s="265">
        <f>SUMIFS('附表6-收入明细采集底稿'!P:P,'附表6-收入明细采集底稿'!G:G,数据对照表!A12,'附表6-收入明细采集底稿'!H:H,"已售")</f>
        <v>0</v>
      </c>
      <c r="H17" s="265">
        <f t="shared" si="3"/>
        <v>0</v>
      </c>
      <c r="I17" s="265">
        <f>SUMIFS('附表6-收入明细采集底稿'!P:P,'附表6-收入明细采集底稿'!G:G,数据对照表!A12,'附表6-收入明细采集底稿'!H:H,"自用")</f>
        <v>0</v>
      </c>
      <c r="J17" s="265">
        <f>SUMIFS('附表6-收入明细采集底稿'!P:P,'附表6-收入明细采集底稿'!G:G,数据对照表!A12,'附表6-收入明细采集底稿'!H:H,"出租")</f>
        <v>0</v>
      </c>
      <c r="K17" s="275"/>
    </row>
    <row r="18" spans="1:11">
      <c r="A18" s="261"/>
      <c r="B18" s="267" t="str">
        <f>"            "&amp;数据对照表!A13</f>
        <v>            物业管理场所</v>
      </c>
      <c r="C18" s="362" t="s">
        <v>220</v>
      </c>
      <c r="D18" s="265">
        <f>SUMIFS('附表6-收入明细采集底稿'!P:P,'附表6-收入明细采集底稿'!G:G,数据对照表!A13)</f>
        <v>0</v>
      </c>
      <c r="E18" s="265">
        <f>SUMIFS('附表6-收入明细采集底稿'!P:P,'附表6-收入明细采集底稿'!G:G,数据对照表!A13,'附表6-收入明细采集底稿'!H:H,"不可售")</f>
        <v>0</v>
      </c>
      <c r="F18" s="265">
        <f>SUM(SUMIFS('附表6-收入明细采集底稿'!P:P,'附表6-收入明细采集底稿'!G:G,数据对照表!A13,'附表6-收入明细采集底稿'!H:H,{"已售","出租","自用","未售"}))</f>
        <v>0</v>
      </c>
      <c r="G18" s="265">
        <f>SUMIFS('附表6-收入明细采集底稿'!P:P,'附表6-收入明细采集底稿'!G:G,数据对照表!A13,'附表6-收入明细采集底稿'!H:H,"已售")</f>
        <v>0</v>
      </c>
      <c r="H18" s="265">
        <f t="shared" ref="H18:H28" si="4">F18-G18</f>
        <v>0</v>
      </c>
      <c r="I18" s="265">
        <f>SUMIFS('附表6-收入明细采集底稿'!P:P,'附表6-收入明细采集底稿'!G:G,数据对照表!A13,'附表6-收入明细采集底稿'!H:H,"自用")</f>
        <v>0</v>
      </c>
      <c r="J18" s="265">
        <f>SUMIFS('附表6-收入明细采集底稿'!P:P,'附表6-收入明细采集底稿'!G:G,数据对照表!A13,'附表6-收入明细采集底稿'!H:H,"出租")</f>
        <v>0</v>
      </c>
      <c r="K18" s="275"/>
    </row>
    <row r="19" spans="1:11">
      <c r="A19" s="261"/>
      <c r="B19" s="267" t="str">
        <f>"            "&amp;数据对照表!A14</f>
        <v>            变电站</v>
      </c>
      <c r="C19" s="362" t="s">
        <v>221</v>
      </c>
      <c r="D19" s="265">
        <f>SUMIFS('附表6-收入明细采集底稿'!P:P,'附表6-收入明细采集底稿'!G:G,数据对照表!A14)</f>
        <v>0</v>
      </c>
      <c r="E19" s="265">
        <f>SUMIFS('附表6-收入明细采集底稿'!P:P,'附表6-收入明细采集底稿'!G:G,数据对照表!A14,'附表6-收入明细采集底稿'!H:H,"不可售")</f>
        <v>0</v>
      </c>
      <c r="F19" s="265">
        <f>SUM(SUMIFS('附表6-收入明细采集底稿'!P:P,'附表6-收入明细采集底稿'!G:G,数据对照表!A14,'附表6-收入明细采集底稿'!H:H,{"已售","出租","自用","未售"}))</f>
        <v>0</v>
      </c>
      <c r="G19" s="265">
        <f>SUMIFS('附表6-收入明细采集底稿'!P:P,'附表6-收入明细采集底稿'!G:G,数据对照表!A14,'附表6-收入明细采集底稿'!H:H,"已售")</f>
        <v>0</v>
      </c>
      <c r="H19" s="265">
        <f t="shared" si="4"/>
        <v>0</v>
      </c>
      <c r="I19" s="265">
        <f>SUMIFS('附表6-收入明细采集底稿'!P:P,'附表6-收入明细采集底稿'!G:G,数据对照表!A14,'附表6-收入明细采集底稿'!H:H,"自用")</f>
        <v>0</v>
      </c>
      <c r="J19" s="265">
        <f>SUMIFS('附表6-收入明细采集底稿'!P:P,'附表6-收入明细采集底稿'!G:G,数据对照表!A14,'附表6-收入明细采集底稿'!H:H,"出租")</f>
        <v>0</v>
      </c>
      <c r="K19" s="275"/>
    </row>
    <row r="20" spans="1:11">
      <c r="A20" s="261"/>
      <c r="B20" s="267" t="str">
        <f>"            "&amp;数据对照表!A15</f>
        <v>            热力站</v>
      </c>
      <c r="C20" s="362" t="s">
        <v>222</v>
      </c>
      <c r="D20" s="265">
        <f>SUMIFS('附表6-收入明细采集底稿'!P:P,'附表6-收入明细采集底稿'!G:G,数据对照表!A15)</f>
        <v>0</v>
      </c>
      <c r="E20" s="265">
        <f>SUMIFS('附表6-收入明细采集底稿'!P:P,'附表6-收入明细采集底稿'!G:G,数据对照表!A15,'附表6-收入明细采集底稿'!H:H,"不可售")</f>
        <v>0</v>
      </c>
      <c r="F20" s="265">
        <f>SUM(SUMIFS('附表6-收入明细采集底稿'!P:P,'附表6-收入明细采集底稿'!G:G,数据对照表!A15,'附表6-收入明细采集底稿'!H:H,{"已售","出租","自用","未售"}))</f>
        <v>0</v>
      </c>
      <c r="G20" s="265">
        <f>SUMIFS('附表6-收入明细采集底稿'!P:P,'附表6-收入明细采集底稿'!G:G,数据对照表!A15,'附表6-收入明细采集底稿'!H:H,"已售")</f>
        <v>0</v>
      </c>
      <c r="H20" s="265">
        <f t="shared" si="4"/>
        <v>0</v>
      </c>
      <c r="I20" s="265">
        <f>SUMIFS('附表6-收入明细采集底稿'!P:P,'附表6-收入明细采集底稿'!G:G,数据对照表!A15,'附表6-收入明细采集底稿'!H:H,"自用")</f>
        <v>0</v>
      </c>
      <c r="J20" s="265">
        <f>SUMIFS('附表6-收入明细采集底稿'!P:P,'附表6-收入明细采集底稿'!G:G,数据对照表!A15,'附表6-收入明细采集底稿'!H:H,"出租")</f>
        <v>0</v>
      </c>
      <c r="K20" s="275"/>
    </row>
    <row r="21" spans="1:11">
      <c r="A21" s="261"/>
      <c r="B21" s="267" t="str">
        <f>"            "&amp;数据对照表!A16</f>
        <v>            水厂</v>
      </c>
      <c r="C21" s="362" t="s">
        <v>223</v>
      </c>
      <c r="D21" s="265">
        <f>SUMIFS('附表6-收入明细采集底稿'!P:P,'附表6-收入明细采集底稿'!G:G,数据对照表!A16)</f>
        <v>0</v>
      </c>
      <c r="E21" s="265">
        <f>SUMIFS('附表6-收入明细采集底稿'!P:P,'附表6-收入明细采集底稿'!G:G,数据对照表!A16,'附表6-收入明细采集底稿'!H:H,"不可售")</f>
        <v>0</v>
      </c>
      <c r="F21" s="265">
        <f>SUM(SUMIFS('附表6-收入明细采集底稿'!P:P,'附表6-收入明细采集底稿'!G:G,数据对照表!A16,'附表6-收入明细采集底稿'!H:H,{"已售","出租","自用","未售"}))</f>
        <v>0</v>
      </c>
      <c r="G21" s="265">
        <f>SUMIFS('附表6-收入明细采集底稿'!P:P,'附表6-收入明细采集底稿'!G:G,数据对照表!A16,'附表6-收入明细采集底稿'!H:H,"已售")</f>
        <v>0</v>
      </c>
      <c r="H21" s="265">
        <f t="shared" si="4"/>
        <v>0</v>
      </c>
      <c r="I21" s="265">
        <f>SUMIFS('附表6-收入明细采集底稿'!P:P,'附表6-收入明细采集底稿'!G:G,数据对照表!A16,'附表6-收入明细采集底稿'!H:H,"自用")</f>
        <v>0</v>
      </c>
      <c r="J21" s="265">
        <f>SUMIFS('附表6-收入明细采集底稿'!P:P,'附表6-收入明细采集底稿'!G:G,数据对照表!A16,'附表6-收入明细采集底稿'!H:H,"出租")</f>
        <v>0</v>
      </c>
      <c r="K21" s="275"/>
    </row>
    <row r="22" spans="1:11">
      <c r="A22" s="261"/>
      <c r="B22" s="267" t="str">
        <f>"            "&amp;数据对照表!A17</f>
        <v>            文体场馆</v>
      </c>
      <c r="C22" s="362" t="s">
        <v>224</v>
      </c>
      <c r="D22" s="265">
        <f>SUMIFS('附表6-收入明细采集底稿'!P:P,'附表6-收入明细采集底稿'!G:G,数据对照表!A17)</f>
        <v>0</v>
      </c>
      <c r="E22" s="265">
        <f>SUMIFS('附表6-收入明细采集底稿'!P:P,'附表6-收入明细采集底稿'!G:G,数据对照表!A17,'附表6-收入明细采集底稿'!H:H,"不可售")</f>
        <v>0</v>
      </c>
      <c r="F22" s="265">
        <f>SUM(SUMIFS('附表6-收入明细采集底稿'!P:P,'附表6-收入明细采集底稿'!G:G,数据对照表!A17,'附表6-收入明细采集底稿'!H:H,{"已售","出租","自用","未售"}))</f>
        <v>0</v>
      </c>
      <c r="G22" s="265">
        <f>SUMIFS('附表6-收入明细采集底稿'!P:P,'附表6-收入明细采集底稿'!G:G,数据对照表!A17,'附表6-收入明细采集底稿'!H:H,"已售")</f>
        <v>0</v>
      </c>
      <c r="H22" s="265">
        <f t="shared" si="4"/>
        <v>0</v>
      </c>
      <c r="I22" s="265">
        <f>SUMIFS('附表6-收入明细采集底稿'!P:P,'附表6-收入明细采集底稿'!G:G,数据对照表!A17,'附表6-收入明细采集底稿'!H:H,"自用")</f>
        <v>0</v>
      </c>
      <c r="J22" s="265">
        <f>SUMIFS('附表6-收入明细采集底稿'!P:P,'附表6-收入明细采集底稿'!G:G,数据对照表!A17,'附表6-收入明细采集底稿'!H:H,"出租")</f>
        <v>0</v>
      </c>
      <c r="K22" s="275"/>
    </row>
    <row r="23" spans="1:11">
      <c r="A23" s="261"/>
      <c r="B23" s="267" t="str">
        <f>"            "&amp;数据对照表!A18</f>
        <v>            学校</v>
      </c>
      <c r="C23" s="362" t="s">
        <v>225</v>
      </c>
      <c r="D23" s="265">
        <f>SUMIFS('附表6-收入明细采集底稿'!P:P,'附表6-收入明细采集底稿'!G:G,数据对照表!A18)</f>
        <v>0</v>
      </c>
      <c r="E23" s="265">
        <f>SUMIFS('附表6-收入明细采集底稿'!P:P,'附表6-收入明细采集底稿'!G:G,数据对照表!A18,'附表6-收入明细采集底稿'!H:H,"不可售")</f>
        <v>0</v>
      </c>
      <c r="F23" s="265">
        <f>SUM(SUMIFS('附表6-收入明细采集底稿'!P:P,'附表6-收入明细采集底稿'!G:G,数据对照表!A18,'附表6-收入明细采集底稿'!H:H,{"已售","出租","自用","未售"}))</f>
        <v>0</v>
      </c>
      <c r="G23" s="265">
        <f>SUMIFS('附表6-收入明细采集底稿'!P:P,'附表6-收入明细采集底稿'!G:G,数据对照表!A18,'附表6-收入明细采集底稿'!H:H,"已售")</f>
        <v>0</v>
      </c>
      <c r="H23" s="265">
        <f t="shared" si="4"/>
        <v>0</v>
      </c>
      <c r="I23" s="265">
        <f>SUMIFS('附表6-收入明细采集底稿'!P:P,'附表6-收入明细采集底稿'!G:G,数据对照表!A18,'附表6-收入明细采集底稿'!H:H,"自用")</f>
        <v>0</v>
      </c>
      <c r="J23" s="265">
        <f>SUMIFS('附表6-收入明细采集底稿'!P:P,'附表6-收入明细采集底稿'!G:G,数据对照表!A18,'附表6-收入明细采集底稿'!H:H,"出租")</f>
        <v>0</v>
      </c>
      <c r="K23" s="275"/>
    </row>
    <row r="24" spans="1:11">
      <c r="A24" s="261"/>
      <c r="B24" s="267" t="str">
        <f>"            "&amp;数据对照表!A19</f>
        <v>            幼儿园</v>
      </c>
      <c r="C24" s="362" t="s">
        <v>226</v>
      </c>
      <c r="D24" s="265">
        <f>SUMIFS('附表6-收入明细采集底稿'!P:P,'附表6-收入明细采集底稿'!G:G,数据对照表!A19)</f>
        <v>0</v>
      </c>
      <c r="E24" s="265">
        <f>SUMIFS('附表6-收入明细采集底稿'!P:P,'附表6-收入明细采集底稿'!G:G,数据对照表!A19,'附表6-收入明细采集底稿'!H:H,"不可售")</f>
        <v>0</v>
      </c>
      <c r="F24" s="265">
        <f>SUM(SUMIFS('附表6-收入明细采集底稿'!P:P,'附表6-收入明细采集底稿'!G:G,数据对照表!A19,'附表6-收入明细采集底稿'!H:H,{"已售","出租","自用","未售"}))</f>
        <v>0</v>
      </c>
      <c r="G24" s="265">
        <f>SUMIFS('附表6-收入明细采集底稿'!P:P,'附表6-收入明细采集底稿'!G:G,数据对照表!A19,'附表6-收入明细采集底稿'!H:H,"已售")</f>
        <v>0</v>
      </c>
      <c r="H24" s="265">
        <f t="shared" si="4"/>
        <v>0</v>
      </c>
      <c r="I24" s="265">
        <f>SUMIFS('附表6-收入明细采集底稿'!P:P,'附表6-收入明细采集底稿'!G:G,数据对照表!A19,'附表6-收入明细采集底稿'!H:H,"自用")</f>
        <v>0</v>
      </c>
      <c r="J24" s="265">
        <f>SUMIFS('附表6-收入明细采集底稿'!P:P,'附表6-收入明细采集底稿'!G:G,数据对照表!A19,'附表6-收入明细采集底稿'!H:H,"出租")</f>
        <v>0</v>
      </c>
      <c r="K24" s="275"/>
    </row>
    <row r="25" spans="1:11">
      <c r="A25" s="261"/>
      <c r="B25" s="267" t="str">
        <f>"            "&amp;数据对照表!A20</f>
        <v>            托儿所</v>
      </c>
      <c r="C25" s="362" t="s">
        <v>227</v>
      </c>
      <c r="D25" s="265">
        <f>SUMIFS('附表6-收入明细采集底稿'!P:P,'附表6-收入明细采集底稿'!G:G,数据对照表!A20)</f>
        <v>0</v>
      </c>
      <c r="E25" s="265">
        <f>SUMIFS('附表6-收入明细采集底稿'!P:P,'附表6-收入明细采集底稿'!G:G,数据对照表!A20,'附表6-收入明细采集底稿'!H:H,"不可售")</f>
        <v>0</v>
      </c>
      <c r="F25" s="265">
        <f>SUM(SUMIFS('附表6-收入明细采集底稿'!P:P,'附表6-收入明细采集底稿'!G:G,数据对照表!A20,'附表6-收入明细采集底稿'!H:H,{"已售","出租","自用","未售"}))</f>
        <v>0</v>
      </c>
      <c r="G25" s="265">
        <f>SUMIFS('附表6-收入明细采集底稿'!P:P,'附表6-收入明细采集底稿'!G:G,数据对照表!A20,'附表6-收入明细采集底稿'!H:H,"已售")</f>
        <v>0</v>
      </c>
      <c r="H25" s="265">
        <f t="shared" si="4"/>
        <v>0</v>
      </c>
      <c r="I25" s="265">
        <f>SUMIFS('附表6-收入明细采集底稿'!P:P,'附表6-收入明细采集底稿'!G:G,数据对照表!A20,'附表6-收入明细采集底稿'!H:H,"自用")</f>
        <v>0</v>
      </c>
      <c r="J25" s="265">
        <f>SUMIFS('附表6-收入明细采集底稿'!P:P,'附表6-收入明细采集底稿'!G:G,数据对照表!A20,'附表6-收入明细采集底稿'!H:H,"出租")</f>
        <v>0</v>
      </c>
      <c r="K25" s="275"/>
    </row>
    <row r="26" spans="1:11">
      <c r="A26" s="261"/>
      <c r="B26" s="267" t="str">
        <f>"            "&amp;数据对照表!A21</f>
        <v>            医院</v>
      </c>
      <c r="C26" s="362" t="s">
        <v>228</v>
      </c>
      <c r="D26" s="265">
        <f>SUMIFS('附表6-收入明细采集底稿'!P:P,'附表6-收入明细采集底稿'!G:G,数据对照表!A21)</f>
        <v>0</v>
      </c>
      <c r="E26" s="265">
        <f>SUMIFS('附表6-收入明细采集底稿'!P:P,'附表6-收入明细采集底稿'!G:G,数据对照表!A21,'附表6-收入明细采集底稿'!H:H,"不可售")</f>
        <v>0</v>
      </c>
      <c r="F26" s="265">
        <f>SUM(SUMIFS('附表6-收入明细采集底稿'!P:P,'附表6-收入明细采集底稿'!G:G,数据对照表!A21,'附表6-收入明细采集底稿'!H:H,{"已售","出租","自用","未售"}))</f>
        <v>0</v>
      </c>
      <c r="G26" s="265">
        <f>SUMIFS('附表6-收入明细采集底稿'!P:P,'附表6-收入明细采集底稿'!G:G,数据对照表!A21,'附表6-收入明细采集底稿'!H:H,"已售")</f>
        <v>0</v>
      </c>
      <c r="H26" s="265">
        <f t="shared" si="4"/>
        <v>0</v>
      </c>
      <c r="I26" s="265">
        <f>SUMIFS('附表6-收入明细采集底稿'!P:P,'附表6-收入明细采集底稿'!G:G,数据对照表!A21,'附表6-收入明细采集底稿'!H:H,"自用")</f>
        <v>0</v>
      </c>
      <c r="J26" s="265">
        <f>SUMIFS('附表6-收入明细采集底稿'!P:P,'附表6-收入明细采集底稿'!G:G,数据对照表!A21,'附表6-收入明细采集底稿'!H:H,"出租")</f>
        <v>0</v>
      </c>
      <c r="K26" s="275"/>
    </row>
    <row r="27" spans="1:11">
      <c r="A27" s="261"/>
      <c r="B27" s="267" t="str">
        <f>"            "&amp;数据对照表!A22</f>
        <v>            邮电通讯</v>
      </c>
      <c r="C27" s="362" t="s">
        <v>229</v>
      </c>
      <c r="D27" s="265">
        <f>SUMIFS('附表6-收入明细采集底稿'!P:P,'附表6-收入明细采集底稿'!G:G,数据对照表!A22)</f>
        <v>0</v>
      </c>
      <c r="E27" s="265">
        <f>SUMIFS('附表6-收入明细采集底稿'!P:P,'附表6-收入明细采集底稿'!G:G,数据对照表!A22,'附表6-收入明细采集底稿'!H:H,"不可售")</f>
        <v>0</v>
      </c>
      <c r="F27" s="265">
        <f>SUM(SUMIFS('附表6-收入明细采集底稿'!P:P,'附表6-收入明细采集底稿'!G:G,数据对照表!A22,'附表6-收入明细采集底稿'!H:H,{"已售","出租","自用","未售"}))</f>
        <v>0</v>
      </c>
      <c r="G27" s="265">
        <f>SUMIFS('附表6-收入明细采集底稿'!P:P,'附表6-收入明细采集底稿'!G:G,数据对照表!A22,'附表6-收入明细采集底稿'!H:H,"已售")</f>
        <v>0</v>
      </c>
      <c r="H27" s="265">
        <f t="shared" si="4"/>
        <v>0</v>
      </c>
      <c r="I27" s="265">
        <f>SUMIFS('附表6-收入明细采集底稿'!P:P,'附表6-收入明细采集底稿'!G:G,数据对照表!A22,'附表6-收入明细采集底稿'!H:H,"自用")</f>
        <v>0</v>
      </c>
      <c r="J27" s="265">
        <f>SUMIFS('附表6-收入明细采集底稿'!P:P,'附表6-收入明细采集底稿'!G:G,数据对照表!A22,'附表6-收入明细采集底稿'!H:H,"出租")</f>
        <v>0</v>
      </c>
      <c r="K27" s="275"/>
    </row>
    <row r="28" spans="1:11">
      <c r="A28" s="261"/>
      <c r="B28" s="267" t="str">
        <f>"            "&amp;数据对照表!A23</f>
        <v>            其他非营业性房产</v>
      </c>
      <c r="C28" s="362" t="s">
        <v>230</v>
      </c>
      <c r="D28" s="265">
        <f>SUMIFS('附表6-收入明细采集底稿'!P:P,'附表6-收入明细采集底稿'!G:G,数据对照表!A23)</f>
        <v>0</v>
      </c>
      <c r="E28" s="265">
        <f>SUMIFS('附表6-收入明细采集底稿'!P:P,'附表6-收入明细采集底稿'!G:G,数据对照表!A23,'附表6-收入明细采集底稿'!H:H,"不可售")</f>
        <v>0</v>
      </c>
      <c r="F28" s="265">
        <f>SUM(SUMIFS('附表6-收入明细采集底稿'!P:P,'附表6-收入明细采集底稿'!G:G,数据对照表!A23,'附表6-收入明细采集底稿'!H:H,{"已售","出租","自用","未售"}))</f>
        <v>0</v>
      </c>
      <c r="G28" s="265">
        <f>SUMIFS('附表6-收入明细采集底稿'!P:P,'附表6-收入明细采集底稿'!G:G,数据对照表!A23,'附表6-收入明细采集底稿'!H:H,"已售")</f>
        <v>0</v>
      </c>
      <c r="H28" s="265">
        <f t="shared" si="4"/>
        <v>0</v>
      </c>
      <c r="I28" s="265">
        <f>SUMIFS('附表6-收入明细采集底稿'!P:P,'附表6-收入明细采集底稿'!G:G,数据对照表!A23,'附表6-收入明细采集底稿'!H:H,"自用")</f>
        <v>0</v>
      </c>
      <c r="J28" s="265">
        <f>SUMIFS('附表6-收入明细采集底稿'!P:P,'附表6-收入明细采集底稿'!G:G,数据对照表!A23,'附表6-收入明细采集底稿'!H:H,"出租")</f>
        <v>0</v>
      </c>
      <c r="K28" s="275"/>
    </row>
    <row r="29" spans="1:11">
      <c r="A29" s="268"/>
      <c r="B29" s="252" t="s">
        <v>110</v>
      </c>
      <c r="C29" s="362" t="s">
        <v>231</v>
      </c>
      <c r="D29" s="265">
        <f>SUM(D5:D7)</f>
        <v>0</v>
      </c>
      <c r="E29" s="265">
        <f t="shared" ref="E29:J29" si="5">SUM(E5:E7)</f>
        <v>0</v>
      </c>
      <c r="F29" s="265">
        <f t="shared" si="5"/>
        <v>0</v>
      </c>
      <c r="G29" s="265">
        <f t="shared" si="5"/>
        <v>0</v>
      </c>
      <c r="H29" s="265">
        <f t="shared" si="5"/>
        <v>0</v>
      </c>
      <c r="I29" s="265">
        <f t="shared" si="5"/>
        <v>0</v>
      </c>
      <c r="J29" s="265">
        <f t="shared" si="5"/>
        <v>0</v>
      </c>
      <c r="K29" s="275"/>
    </row>
    <row r="30" spans="1:11">
      <c r="A30" s="269" t="s">
        <v>232</v>
      </c>
      <c r="B30" s="259" t="s">
        <v>196</v>
      </c>
      <c r="C30" s="269" t="s">
        <v>67</v>
      </c>
      <c r="D30" s="89" t="s">
        <v>233</v>
      </c>
      <c r="E30" s="89" t="s">
        <v>128</v>
      </c>
      <c r="F30" s="89" t="s">
        <v>234</v>
      </c>
      <c r="G30" s="89" t="s">
        <v>235</v>
      </c>
      <c r="H30" s="89" t="s">
        <v>236</v>
      </c>
      <c r="I30" s="278" t="s">
        <v>237</v>
      </c>
      <c r="J30" s="279"/>
      <c r="K30" s="269" t="s">
        <v>204</v>
      </c>
    </row>
    <row r="31" spans="1:11">
      <c r="A31" s="269"/>
      <c r="B31" s="268"/>
      <c r="C31" s="269"/>
      <c r="D31" s="360" t="s">
        <v>215</v>
      </c>
      <c r="E31" s="360" t="s">
        <v>216</v>
      </c>
      <c r="F31" s="360" t="s">
        <v>238</v>
      </c>
      <c r="G31" s="360" t="s">
        <v>218</v>
      </c>
      <c r="H31" s="360" t="s">
        <v>219</v>
      </c>
      <c r="I31" s="363" t="s">
        <v>220</v>
      </c>
      <c r="J31" s="279"/>
      <c r="K31" s="361" t="s">
        <v>221</v>
      </c>
    </row>
    <row r="32" spans="1:11">
      <c r="A32" s="269"/>
      <c r="B32" s="267" t="str">
        <f>B5</f>
        <v>普通住宅</v>
      </c>
      <c r="C32" s="362" t="s">
        <v>239</v>
      </c>
      <c r="D32" s="249">
        <f>F5</f>
        <v>0</v>
      </c>
      <c r="E32" s="249">
        <f>G5</f>
        <v>0</v>
      </c>
      <c r="F32" s="270" t="str">
        <f>IF(D32=0,"",ROUND(E32/D32,6))</f>
        <v/>
      </c>
      <c r="G32" s="270" t="str">
        <f>IF(F5=0,"",ROUND(I5/F5,6))</f>
        <v/>
      </c>
      <c r="H32" s="270" t="str">
        <f>IF(F5=0,"",ROUND(J5/F5,6))</f>
        <v/>
      </c>
      <c r="I32" s="280" t="str">
        <f>IF(F5=0,"",ROUND((G5+I5+J5)/F5,6))</f>
        <v/>
      </c>
      <c r="J32" s="281"/>
      <c r="K32" s="282"/>
    </row>
    <row r="33" spans="1:11">
      <c r="A33" s="269"/>
      <c r="B33" s="267" t="str">
        <f>B6</f>
        <v>非普通住宅</v>
      </c>
      <c r="C33" s="362" t="s">
        <v>240</v>
      </c>
      <c r="D33" s="249">
        <f t="shared" ref="D33:E34" si="6">F6</f>
        <v>0</v>
      </c>
      <c r="E33" s="249">
        <f t="shared" si="6"/>
        <v>0</v>
      </c>
      <c r="F33" s="270" t="str">
        <f>IF(D33=0,"",ROUND(E33/D33,6))</f>
        <v/>
      </c>
      <c r="G33" s="270" t="str">
        <f>IF(F6=0,"",ROUND(I6/F6,6))</f>
        <v/>
      </c>
      <c r="H33" s="270" t="str">
        <f>IF(F6=0,"",ROUND(J6/F6,6))</f>
        <v/>
      </c>
      <c r="I33" s="280" t="str">
        <f>IF(F6=0,"",ROUND((G6+I6+J6)/F6,6))</f>
        <v/>
      </c>
      <c r="J33" s="281"/>
      <c r="K33" s="282"/>
    </row>
    <row r="34" spans="1:11">
      <c r="A34" s="269"/>
      <c r="B34" s="267" t="str">
        <f>B7</f>
        <v>其他类型房产</v>
      </c>
      <c r="C34" s="362" t="s">
        <v>241</v>
      </c>
      <c r="D34" s="249">
        <f>F7</f>
        <v>0</v>
      </c>
      <c r="E34" s="249">
        <f t="shared" si="6"/>
        <v>0</v>
      </c>
      <c r="F34" s="270" t="str">
        <f>IF(D34=0,"",ROUND(E34/D34,6))</f>
        <v/>
      </c>
      <c r="G34" s="270" t="str">
        <f>IF(F7=0,"",ROUND(I7/F7,6))</f>
        <v/>
      </c>
      <c r="H34" s="270" t="str">
        <f>IF(F7=0,"",ROUND(J7/F7,6))</f>
        <v/>
      </c>
      <c r="I34" s="280" t="str">
        <f>IF(F7=0,"",ROUND((G7+I7+J7)/F7,6))</f>
        <v/>
      </c>
      <c r="J34" s="281"/>
      <c r="K34" s="282"/>
    </row>
    <row r="35" customHeight="1" spans="1:11">
      <c r="A35" s="269"/>
      <c r="B35" s="252" t="s">
        <v>110</v>
      </c>
      <c r="C35" s="362" t="s">
        <v>242</v>
      </c>
      <c r="D35" s="249">
        <f>SUM(D32:D34)</f>
        <v>0</v>
      </c>
      <c r="E35" s="249">
        <f>SUM(E32:E34)</f>
        <v>0</v>
      </c>
      <c r="F35" s="270" t="str">
        <f>IF(D35=0,"",ROUND(E35/D35,6))</f>
        <v/>
      </c>
      <c r="G35" s="270" t="str">
        <f>IF(F29=0,"",ROUND(I29/F29,6))</f>
        <v/>
      </c>
      <c r="H35" s="270" t="str">
        <f>IF(F29=0,"",ROUND(J29/F29,6))</f>
        <v/>
      </c>
      <c r="I35" s="283" t="str">
        <f>IF(F29=0,"",ROUND((G29+I29+J29)/F29,6))</f>
        <v/>
      </c>
      <c r="J35" s="284"/>
      <c r="K35" s="285"/>
    </row>
    <row r="38" spans="6:6">
      <c r="F38" s="271"/>
    </row>
  </sheetData>
  <sheetProtection sheet="1" formatCells="0" formatColumns="0" formatRows="0" autoFilter="0" pivotTables="0" objects="1"/>
  <mergeCells count="14">
    <mergeCell ref="A1:K1"/>
    <mergeCell ref="A2:K2"/>
    <mergeCell ref="I30:J30"/>
    <mergeCell ref="I31:J31"/>
    <mergeCell ref="I32:J32"/>
    <mergeCell ref="I33:J33"/>
    <mergeCell ref="I34:J34"/>
    <mergeCell ref="I35:J35"/>
    <mergeCell ref="A3:A29"/>
    <mergeCell ref="A30:A35"/>
    <mergeCell ref="B3:B4"/>
    <mergeCell ref="B30:B31"/>
    <mergeCell ref="C3:C4"/>
    <mergeCell ref="C30:C31"/>
  </mergeCells>
  <printOptions horizontalCentered="1"/>
  <pageMargins left="0.747916666666667" right="0.747916666666667" top="0.984027777777778" bottom="0.984027777777778" header="0.511805555555556" footer="0.511805555555556"/>
  <pageSetup paperSize="9" scale="80" fitToWidth="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$A1:$XFD1048576"/>
    </sheetView>
  </sheetViews>
  <sheetFormatPr defaultColWidth="8.875" defaultRowHeight="12"/>
  <cols>
    <col min="1" max="1" width="21.5" style="184" customWidth="1"/>
    <col min="2" max="2" width="4.625" style="237" customWidth="1"/>
    <col min="3" max="6" width="26.625" style="238" customWidth="1"/>
    <col min="7" max="7" width="15.875" style="184" customWidth="1"/>
    <col min="8" max="28" width="9" style="184"/>
    <col min="29" max="16384" width="8.875" style="184"/>
  </cols>
  <sheetData>
    <row r="1" ht="21" spans="1:6">
      <c r="A1" s="239" t="str">
        <f>目录!A6&amp;目录!B6</f>
        <v>T22000附表2-收入统计表</v>
      </c>
      <c r="B1" s="239"/>
      <c r="C1" s="240"/>
      <c r="D1" s="240"/>
      <c r="E1" s="240"/>
      <c r="F1" s="240"/>
    </row>
    <row r="2" ht="35.1" customHeight="1" spans="1:9">
      <c r="A2" s="241" t="str">
        <f>土地增值税税源明细表!F5&amp;"："&amp;土地增值税税源明细表!H5&amp;"          "&amp;土地增值税税源明细表!A5&amp;"："&amp;土地增值税税源明细表!B5&amp;"          "&amp;"金额单位:人民币元(列至角分)"</f>
        <v>项目编码：          项目名称：          金额单位:人民币元(列至角分)</v>
      </c>
      <c r="B2" s="241"/>
      <c r="C2" s="242"/>
      <c r="D2" s="242"/>
      <c r="E2" s="242"/>
      <c r="F2" s="242"/>
      <c r="G2" s="243"/>
      <c r="H2" s="243"/>
      <c r="I2" s="243"/>
    </row>
    <row r="3" ht="35.1" customHeight="1" spans="1:6">
      <c r="A3" s="244" t="s">
        <v>243</v>
      </c>
      <c r="B3" s="244" t="s">
        <v>67</v>
      </c>
      <c r="C3" s="245" t="s">
        <v>244</v>
      </c>
      <c r="D3" s="245" t="s">
        <v>245</v>
      </c>
      <c r="E3" s="245" t="s">
        <v>246</v>
      </c>
      <c r="F3" s="245" t="s">
        <v>247</v>
      </c>
    </row>
    <row r="4" s="235" customFormat="1" ht="35.1" customHeight="1" spans="1:6">
      <c r="A4" s="246"/>
      <c r="B4" s="246"/>
      <c r="C4" s="364" t="s">
        <v>213</v>
      </c>
      <c r="D4" s="364" t="s">
        <v>206</v>
      </c>
      <c r="E4" s="364" t="s">
        <v>207</v>
      </c>
      <c r="F4" s="364" t="s">
        <v>248</v>
      </c>
    </row>
    <row r="5" ht="35.1" customHeight="1" spans="1:6">
      <c r="A5" s="247" t="str">
        <f>数据对照表!A2</f>
        <v>普通住宅</v>
      </c>
      <c r="B5" s="365" t="s">
        <v>213</v>
      </c>
      <c r="C5" s="249">
        <f>SUMIFS('附表6-收入明细采集底稿'!X:X,'附表6-收入明细采集底稿'!G:G,"普通住宅",'附表6-收入明细采集底稿'!H:H,"已售",'附表6-收入明细采集底稿'!I:I,"货币收入")</f>
        <v>0</v>
      </c>
      <c r="D5" s="249">
        <f>SUMIFS('附表6-收入明细采集底稿'!X:X,'附表6-收入明细采集底稿'!G:G,"普通住宅",'附表6-收入明细采集底稿'!H:H,"已售",'附表6-收入明细采集底稿'!I:I,"实物及其他收入")</f>
        <v>0</v>
      </c>
      <c r="E5" s="249">
        <f>SUMIFS('附表6-收入明细采集底稿'!X:X,'附表6-收入明细采集底稿'!G:G,"普通住宅",'附表6-收入明细采集底稿'!H:H,"已售",'附表6-收入明细采集底稿'!I:I,"视同销售收入")</f>
        <v>0</v>
      </c>
      <c r="F5" s="250">
        <f>C5+D5+E5</f>
        <v>0</v>
      </c>
    </row>
    <row r="6" ht="35.1" customHeight="1" spans="1:6">
      <c r="A6" s="247" t="str">
        <f>数据对照表!A3</f>
        <v>非普通住宅</v>
      </c>
      <c r="B6" s="365" t="s">
        <v>206</v>
      </c>
      <c r="C6" s="249">
        <f>SUMIFS('附表6-收入明细采集底稿'!X:X,'附表6-收入明细采集底稿'!G:G,"非普通住宅",'附表6-收入明细采集底稿'!H:H,"已售",'附表6-收入明细采集底稿'!I:I,"货币收入")</f>
        <v>0</v>
      </c>
      <c r="D6" s="249">
        <f>SUMIFS('附表6-收入明细采集底稿'!X:X,'附表6-收入明细采集底稿'!G:G,"非普通住宅",'附表6-收入明细采集底稿'!H:H,"已售",'附表6-收入明细采集底稿'!I:I,"实物及其他收入")</f>
        <v>0</v>
      </c>
      <c r="E6" s="249">
        <f>SUMIFS('附表6-收入明细采集底稿'!X:X,'附表6-收入明细采集底稿'!G:G,"非普通住宅",'附表6-收入明细采集底稿'!H:H,"已售",'附表6-收入明细采集底稿'!I:I,"视同销售收入")</f>
        <v>0</v>
      </c>
      <c r="F6" s="250">
        <f t="shared" ref="F6:F13" si="0">C6+D6+E6</f>
        <v>0</v>
      </c>
    </row>
    <row r="7" ht="35.1" customHeight="1" spans="1:6">
      <c r="A7" s="247" t="s">
        <v>140</v>
      </c>
      <c r="B7" s="365" t="s">
        <v>207</v>
      </c>
      <c r="C7" s="249">
        <f>SUM(C8:C12)</f>
        <v>0</v>
      </c>
      <c r="D7" s="249">
        <f>SUM(D8:D12)</f>
        <v>0</v>
      </c>
      <c r="E7" s="249">
        <f>SUM(E8:E12)</f>
        <v>0</v>
      </c>
      <c r="F7" s="250">
        <f t="shared" si="0"/>
        <v>0</v>
      </c>
    </row>
    <row r="8" ht="35.1" customHeight="1" spans="1:6">
      <c r="A8" s="251" t="str">
        <f>"其中："&amp;数据对照表!A4</f>
        <v>其中：商业用房</v>
      </c>
      <c r="B8" s="365" t="s">
        <v>208</v>
      </c>
      <c r="C8" s="249">
        <f>SUMIFS('附表6-收入明细采集底稿'!X:X,'附表6-收入明细采集底稿'!G:G,"商业用房",'附表6-收入明细采集底稿'!H:H,"已售",'附表6-收入明细采集底稿'!I:I,"货币收入")</f>
        <v>0</v>
      </c>
      <c r="D8" s="249">
        <f>SUMIFS('附表6-收入明细采集底稿'!X:X,'附表6-收入明细采集底稿'!G:G,"商业用房",'附表6-收入明细采集底稿'!H:H,"已售",'附表6-收入明细采集底稿'!I:I,"实物及其他收入")</f>
        <v>0</v>
      </c>
      <c r="E8" s="249">
        <f>SUMIFS('附表6-收入明细采集底稿'!X:X,'附表6-收入明细采集底稿'!G:G,"商业用房",'附表6-收入明细采集底稿'!H:H,"已售",'附表6-收入明细采集底稿'!I:I,"视同销售收入")</f>
        <v>0</v>
      </c>
      <c r="F8" s="250">
        <f t="shared" si="0"/>
        <v>0</v>
      </c>
    </row>
    <row r="9" ht="35.1" customHeight="1" spans="1:6">
      <c r="A9" s="251" t="str">
        <f>"      "&amp;数据对照表!A5</f>
        <v>      办公用房</v>
      </c>
      <c r="B9" s="365" t="s">
        <v>214</v>
      </c>
      <c r="C9" s="249">
        <f>SUMIFS('附表6-收入明细采集底稿'!X:X,'附表6-收入明细采集底稿'!G:G,"办公用房",'附表6-收入明细采集底稿'!H:H,"已售",'附表6-收入明细采集底稿'!I:I,"货币收入")</f>
        <v>0</v>
      </c>
      <c r="D9" s="249">
        <f>SUMIFS('附表6-收入明细采集底稿'!X:X,'附表6-收入明细采集底稿'!G:G,"办公用房",'附表6-收入明细采集底稿'!H:H,"已售",'附表6-收入明细采集底稿'!I:I,"实物及其他收入")</f>
        <v>0</v>
      </c>
      <c r="E9" s="249">
        <f>SUMIFS('附表6-收入明细采集底稿'!X:X,'附表6-收入明细采集底稿'!G:G,"办公用房",'附表6-收入明细采集底稿'!H:H,"已售",'附表6-收入明细采集底稿'!I:I,"视同销售收入")</f>
        <v>0</v>
      </c>
      <c r="F9" s="250">
        <f t="shared" si="0"/>
        <v>0</v>
      </c>
    </row>
    <row r="10" ht="35.1" customHeight="1" spans="1:6">
      <c r="A10" s="251" t="str">
        <f>"      "&amp;数据对照表!A6</f>
        <v>      车位车库</v>
      </c>
      <c r="B10" s="365" t="s">
        <v>210</v>
      </c>
      <c r="C10" s="249">
        <f>SUMIFS('附表6-收入明细采集底稿'!X:X,'附表6-收入明细采集底稿'!G:G,"车位车库",'附表6-收入明细采集底稿'!H:H,"已售",'附表6-收入明细采集底稿'!I:I,"货币收入")</f>
        <v>0</v>
      </c>
      <c r="D10" s="249">
        <f>SUMIFS('附表6-收入明细采集底稿'!X:X,'附表6-收入明细采集底稿'!G:G,"车位车库",'附表6-收入明细采集底稿'!H:H,"已售",'附表6-收入明细采集底稿'!I:I,"实物及其他收入")</f>
        <v>0</v>
      </c>
      <c r="E10" s="249">
        <f>SUMIFS('附表6-收入明细采集底稿'!X:X,'附表6-收入明细采集底稿'!G:G,"车位车库",'附表6-收入明细采集底稿'!H:H,"已售",'附表6-收入明细采集底稿'!I:I,"视同销售收入")</f>
        <v>0</v>
      </c>
      <c r="F10" s="250">
        <f t="shared" si="0"/>
        <v>0</v>
      </c>
    </row>
    <row r="11" ht="35.1" customHeight="1" spans="1:6">
      <c r="A11" s="251" t="str">
        <f>"      "&amp;数据对照表!A7</f>
        <v>      其他营业性房产</v>
      </c>
      <c r="B11" s="365" t="s">
        <v>211</v>
      </c>
      <c r="C11" s="249">
        <f>SUMIFS('附表6-收入明细采集底稿'!X:X,'附表6-收入明细采集底稿'!G:G,"其他营业性房产",'附表6-收入明细采集底稿'!H:H,"已售",'附表6-收入明细采集底稿'!I:I,"货币收入")</f>
        <v>0</v>
      </c>
      <c r="D11" s="249">
        <f>SUMIFS('附表6-收入明细采集底稿'!X:X,'附表6-收入明细采集底稿'!G:G,"其他营业性房产",'附表6-收入明细采集底稿'!H:H,"已售",'附表6-收入明细采集底稿'!I:I,"实物及其他收入")</f>
        <v>0</v>
      </c>
      <c r="E11" s="249">
        <f>SUMIFS('附表6-收入明细采集底稿'!X:X,'附表6-收入明细采集底稿'!G:G,"其他营业性房产",'附表6-收入明细采集底稿'!H:H,"已售",'附表6-收入明细采集底稿'!I:I,"视同销售收入")</f>
        <v>0</v>
      </c>
      <c r="F11" s="250">
        <f t="shared" si="0"/>
        <v>0</v>
      </c>
    </row>
    <row r="12" ht="35.1" customHeight="1" spans="1:6">
      <c r="A12" s="251" t="str">
        <f>"      "&amp;"非营业性房产"</f>
        <v>      非营业性房产</v>
      </c>
      <c r="B12" s="365" t="s">
        <v>212</v>
      </c>
      <c r="C12" s="249">
        <f>ROUND(SUMIFS('附表6-收入明细采集底稿'!X:X,'附表6-收入明细采集底稿'!H:H,"已售",'附表6-收入明细采集底稿'!I:I,"货币收入")-C5-C6-C8-C9-C10-C11,2)</f>
        <v>0</v>
      </c>
      <c r="D12" s="249">
        <f>ROUND(SUMIFS('附表6-收入明细采集底稿'!X:X,'附表6-收入明细采集底稿'!H:H,"已售",'附表6-收入明细采集底稿'!I:I,"实物及其他收入")-D5-D6-D8-D9-D10-D11,2)</f>
        <v>0</v>
      </c>
      <c r="E12" s="249">
        <f>ROUND(SUMIFS('附表6-收入明细采集底稿'!X:X,'附表6-收入明细采集底稿'!H:H,"已售",'附表6-收入明细采集底稿'!I:I,"视同销售收入")-E5-E6-E8-E9-E10-E11,2)</f>
        <v>0</v>
      </c>
      <c r="F12" s="250">
        <f t="shared" si="0"/>
        <v>0</v>
      </c>
    </row>
    <row r="13" s="236" customFormat="1" ht="35.1" customHeight="1" spans="1:6">
      <c r="A13" s="252" t="s">
        <v>110</v>
      </c>
      <c r="B13" s="365" t="s">
        <v>215</v>
      </c>
      <c r="C13" s="250">
        <f>C5+C6+C7</f>
        <v>0</v>
      </c>
      <c r="D13" s="250">
        <f>D5+D6+D7</f>
        <v>0</v>
      </c>
      <c r="E13" s="250">
        <f>E5+E6+E7</f>
        <v>0</v>
      </c>
      <c r="F13" s="250">
        <f t="shared" si="0"/>
        <v>0</v>
      </c>
    </row>
  </sheetData>
  <sheetProtection sheet="1" formatCells="0" formatColumns="0" formatRows="0" objects="1"/>
  <mergeCells count="4">
    <mergeCell ref="A1:F1"/>
    <mergeCell ref="A2:F2"/>
    <mergeCell ref="A3:A4"/>
    <mergeCell ref="B3:B4"/>
  </mergeCells>
  <printOptions horizontalCentered="1"/>
  <pageMargins left="0.747916666666667" right="0.747916666666667" top="0.984027777777778" bottom="0.984027777777778" header="0.511805555555556" footer="0.511805555555556"/>
  <pageSetup paperSize="9" scale="80" fitToHeight="0" orientation="landscape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zoomScale="85" zoomScaleNormal="85" workbookViewId="0">
      <selection activeCell="A1" sqref="$A1:$XFD1048576"/>
    </sheetView>
  </sheetViews>
  <sheetFormatPr defaultColWidth="8.875" defaultRowHeight="14.25"/>
  <cols>
    <col min="1" max="1" width="25.5" style="187" customWidth="1"/>
    <col min="2" max="2" width="21.5" style="188" customWidth="1"/>
    <col min="3" max="3" width="13.375" style="189" customWidth="1"/>
    <col min="4" max="4" width="15" style="189" customWidth="1"/>
    <col min="5" max="5" width="14.125" style="189" customWidth="1"/>
    <col min="6" max="6" width="9.5" style="189" customWidth="1"/>
    <col min="7" max="7" width="16.75" style="190" customWidth="1"/>
    <col min="8" max="8" width="12.5" style="191" customWidth="1"/>
    <col min="9" max="10" width="12.875" style="191" customWidth="1"/>
    <col min="11" max="13" width="17.375" style="189" customWidth="1"/>
    <col min="14" max="14" width="15.5" style="189" customWidth="1"/>
    <col min="15" max="16384" width="8.875" style="187"/>
  </cols>
  <sheetData>
    <row r="1" s="184" customFormat="1" ht="21" spans="1:14">
      <c r="A1" s="192" t="str">
        <f>目录!A7&amp;目录!B7</f>
        <v>T23000附表3-扣除项目分摊表</v>
      </c>
      <c r="B1" s="192"/>
      <c r="C1" s="193"/>
      <c r="D1" s="193"/>
      <c r="E1" s="193"/>
      <c r="F1" s="193"/>
      <c r="G1" s="192"/>
      <c r="H1" s="194"/>
      <c r="I1" s="194"/>
      <c r="J1" s="194"/>
      <c r="K1" s="193"/>
      <c r="L1" s="193"/>
      <c r="M1" s="193"/>
      <c r="N1" s="193"/>
    </row>
    <row r="2" s="184" customFormat="1" ht="19.5" customHeight="1" spans="1:21">
      <c r="A2" s="195" t="str">
        <f>土地增值税税源明细表!F5&amp;"："&amp;土地增值税税源明细表!H5&amp;"          "&amp;土地增值税税源明细表!A5&amp;"："&amp;土地增值税税源明细表!B5&amp;"          "&amp;"金额单位:人民币元(列至角分)"</f>
        <v>项目编码：          项目名称：          金额单位:人民币元(列至角分)</v>
      </c>
      <c r="B2" s="195"/>
      <c r="C2" s="196"/>
      <c r="D2" s="196"/>
      <c r="E2" s="196"/>
      <c r="F2" s="196"/>
      <c r="G2" s="195"/>
      <c r="H2" s="197"/>
      <c r="I2" s="197"/>
      <c r="J2" s="197"/>
      <c r="K2" s="196"/>
      <c r="L2" s="196"/>
      <c r="M2" s="196"/>
      <c r="N2" s="196"/>
      <c r="O2" s="231"/>
      <c r="P2" s="231"/>
      <c r="Q2" s="231"/>
      <c r="R2" s="231"/>
      <c r="S2" s="231"/>
      <c r="T2" s="231"/>
      <c r="U2" s="231"/>
    </row>
    <row r="3" s="134" customFormat="1" ht="27.95" customHeight="1" spans="1:14">
      <c r="A3" s="198" t="s">
        <v>249</v>
      </c>
      <c r="B3" s="199" t="s">
        <v>67</v>
      </c>
      <c r="C3" s="88" t="s">
        <v>250</v>
      </c>
      <c r="D3" s="88"/>
      <c r="E3" s="88"/>
      <c r="F3" s="88"/>
      <c r="G3" s="200" t="s">
        <v>251</v>
      </c>
      <c r="H3" s="201"/>
      <c r="I3" s="201"/>
      <c r="J3" s="201"/>
      <c r="K3" s="88" t="s">
        <v>252</v>
      </c>
      <c r="L3" s="88"/>
      <c r="M3" s="88"/>
      <c r="N3" s="88"/>
    </row>
    <row r="4" s="134" customFormat="1" ht="27.95" customHeight="1" spans="1:14">
      <c r="A4" s="202"/>
      <c r="B4" s="203"/>
      <c r="C4" s="88" t="s">
        <v>138</v>
      </c>
      <c r="D4" s="88" t="s">
        <v>139</v>
      </c>
      <c r="E4" s="88" t="s">
        <v>140</v>
      </c>
      <c r="F4" s="88" t="s">
        <v>247</v>
      </c>
      <c r="G4" s="204" t="s">
        <v>253</v>
      </c>
      <c r="H4" s="205" t="s">
        <v>138</v>
      </c>
      <c r="I4" s="205" t="s">
        <v>139</v>
      </c>
      <c r="J4" s="205" t="s">
        <v>140</v>
      </c>
      <c r="K4" s="88" t="s">
        <v>138</v>
      </c>
      <c r="L4" s="88" t="s">
        <v>139</v>
      </c>
      <c r="M4" s="88" t="s">
        <v>140</v>
      </c>
      <c r="N4" s="88" t="s">
        <v>247</v>
      </c>
    </row>
    <row r="5" s="134" customFormat="1" ht="27.95" customHeight="1" spans="1:14">
      <c r="A5" s="206"/>
      <c r="B5" s="207"/>
      <c r="C5" s="366" t="s">
        <v>213</v>
      </c>
      <c r="D5" s="366" t="s">
        <v>206</v>
      </c>
      <c r="E5" s="366" t="s">
        <v>207</v>
      </c>
      <c r="F5" s="366" t="s">
        <v>248</v>
      </c>
      <c r="G5" s="367" t="s">
        <v>214</v>
      </c>
      <c r="H5" s="368" t="s">
        <v>210</v>
      </c>
      <c r="I5" s="368" t="s">
        <v>211</v>
      </c>
      <c r="J5" s="368" t="s">
        <v>212</v>
      </c>
      <c r="K5" s="366" t="s">
        <v>254</v>
      </c>
      <c r="L5" s="366" t="s">
        <v>255</v>
      </c>
      <c r="M5" s="366" t="s">
        <v>256</v>
      </c>
      <c r="N5" s="366" t="s">
        <v>257</v>
      </c>
    </row>
    <row r="6" s="134" customFormat="1" ht="27.95" customHeight="1" spans="1:14">
      <c r="A6" s="208" t="s">
        <v>258</v>
      </c>
      <c r="B6" s="209" t="s">
        <v>259</v>
      </c>
      <c r="C6" s="210">
        <f>'附表5-扣除项目统计表'!E87+'附表5-扣除项目统计表'!I87</f>
        <v>0</v>
      </c>
      <c r="D6" s="210">
        <f>'附表5-扣除项目统计表'!F87+'附表5-扣除项目统计表'!J87</f>
        <v>0</v>
      </c>
      <c r="E6" s="210">
        <f>'附表5-扣除项目统计表'!G87+'附表5-扣除项目统计表'!K87</f>
        <v>0</v>
      </c>
      <c r="F6" s="210">
        <f>SUM(C6:E6)</f>
        <v>0</v>
      </c>
      <c r="G6" s="211"/>
      <c r="H6" s="212"/>
      <c r="I6" s="212"/>
      <c r="J6" s="212"/>
      <c r="K6" s="232">
        <f>SUM(K7)+SUM(K9)+SUM(K17)+SUM(K20)+SUM(K26)+SUM(K27)</f>
        <v>0</v>
      </c>
      <c r="L6" s="232">
        <f>SUM(L7)+SUM(L9)+SUM(L17)+SUM(L20)+SUM(L26)+SUM(L27)</f>
        <v>0</v>
      </c>
      <c r="M6" s="232">
        <f>SUM(M7)+SUM(M9)+SUM(M17)+SUM(M20)+SUM(M26)+SUM(M27)</f>
        <v>0</v>
      </c>
      <c r="N6" s="232">
        <f>SUM(K6:M6)</f>
        <v>0</v>
      </c>
    </row>
    <row r="7" s="134" customFormat="1" ht="27.95" customHeight="1" spans="1:14">
      <c r="A7" s="213" t="s">
        <v>149</v>
      </c>
      <c r="B7" s="209" t="s">
        <v>206</v>
      </c>
      <c r="C7" s="210">
        <f>'附表5-扣除项目统计表'!E6+'附表5-扣除项目统计表'!I6</f>
        <v>0</v>
      </c>
      <c r="D7" s="210">
        <f>'附表5-扣除项目统计表'!F6+'附表5-扣除项目统计表'!J6</f>
        <v>0</v>
      </c>
      <c r="E7" s="210">
        <f>'附表5-扣除项目统计表'!G6+'附表5-扣除项目统计表'!K6</f>
        <v>0</v>
      </c>
      <c r="F7" s="210">
        <f t="shared" ref="F7:F19" si="0">SUM(C7:E7)</f>
        <v>0</v>
      </c>
      <c r="G7" s="214" t="s">
        <v>260</v>
      </c>
      <c r="H7" s="215" t="str">
        <f>IF(OR($G7="可售建筑面积法",$G7="可售建筑面积法（二分法）"),'附表1-面积统计表'!$F$32,IF($G7="其他合理方法","请填写","请选择分摊方法"))</f>
        <v/>
      </c>
      <c r="I7" s="215" t="str">
        <f>IF($G7="可售建筑面积法（二分法）",IF('附表1-面积统计表'!$D$33+'附表1-面积统计表'!$D$34=0,"",ROUND(('附表1-面积统计表'!$E$33+'附表1-面积统计表'!$E$34)/('附表1-面积统计表'!$D$33+'附表1-面积统计表'!$D$34),6)),IF($G7="可售建筑面积法",'附表1-面积统计表'!$F$33,IF($G7="其他合理方法","请填写","请选择分摊方法")))</f>
        <v/>
      </c>
      <c r="J7" s="215" t="str">
        <f>IF($G7="可售建筑面积法（二分法）",IF('附表1-面积统计表'!$D$33+'附表1-面积统计表'!$D$34=0,"",ROUND(('附表1-面积统计表'!$E$33+'附表1-面积统计表'!$E$34)/('附表1-面积统计表'!$D$33+'附表1-面积统计表'!$D$34),6)),IF($G7="可售建筑面积法",'附表1-面积统计表'!$F$34,IF($G7="其他合理方法","请填写","请选择分摊方法")))</f>
        <v/>
      </c>
      <c r="K7" s="233" t="str">
        <f t="shared" ref="K7:K14" si="1">IF(AND(H7&lt;=1,H7&gt;=0),ROUND(C7*H7,2),"请准确填写扣除比例")</f>
        <v>请准确填写扣除比例</v>
      </c>
      <c r="L7" s="233" t="str">
        <f t="shared" ref="L7:L14" si="2">IF(AND(I7&lt;=1,I7&gt;=0),ROUND(D7*I7,2),"请准确填写扣除比例")</f>
        <v>请准确填写扣除比例</v>
      </c>
      <c r="M7" s="233" t="str">
        <f t="shared" ref="M7:M14" si="3">IF(AND(J7&lt;=1,J7&gt;=0),ROUND(E7*J7,2),"请准确填写扣除比例")</f>
        <v>请准确填写扣除比例</v>
      </c>
      <c r="N7" s="232">
        <f t="shared" ref="N7:N27" si="4">SUM(K7:M7)</f>
        <v>0</v>
      </c>
    </row>
    <row r="8" s="134" customFormat="1" ht="27.95" customHeight="1" spans="1:14">
      <c r="A8" s="216" t="s">
        <v>150</v>
      </c>
      <c r="B8" s="209" t="s">
        <v>207</v>
      </c>
      <c r="C8" s="210">
        <f>'附表5-扣除项目统计表'!E10+'附表5-扣除项目统计表'!I10</f>
        <v>0</v>
      </c>
      <c r="D8" s="210">
        <f>'附表5-扣除项目统计表'!F10+'附表5-扣除项目统计表'!J10</f>
        <v>0</v>
      </c>
      <c r="E8" s="210">
        <f>'附表5-扣除项目统计表'!G10+'附表5-扣除项目统计表'!K10</f>
        <v>0</v>
      </c>
      <c r="F8" s="210">
        <f t="shared" si="0"/>
        <v>0</v>
      </c>
      <c r="G8" s="214" t="s">
        <v>260</v>
      </c>
      <c r="H8" s="215" t="str">
        <f>IF(OR($G8="可售建筑面积法",$G8="可售建筑面积法（二分法）"),'附表1-面积统计表'!$F$32,IF($G8="其他合理方法","请填写","请选择分摊方法"))</f>
        <v/>
      </c>
      <c r="I8" s="215" t="str">
        <f>IF($G8="可售建筑面积法（二分法）",IF('附表1-面积统计表'!$D$33+'附表1-面积统计表'!$D$34=0,"",ROUND(('附表1-面积统计表'!$E$33+'附表1-面积统计表'!$E$34)/('附表1-面积统计表'!$D$33+'附表1-面积统计表'!$D$34),6)),IF($G8="可售建筑面积法",'附表1-面积统计表'!$F$33,IF($G8="其他合理方法","请填写","请选择分摊方法")))</f>
        <v/>
      </c>
      <c r="J8" s="215" t="str">
        <f>IF($G8="可售建筑面积法（二分法）",IF('附表1-面积统计表'!$D$33+'附表1-面积统计表'!$D$34=0,"",ROUND(('附表1-面积统计表'!$E$33+'附表1-面积统计表'!$E$34)/('附表1-面积统计表'!$D$33+'附表1-面积统计表'!$D$34),6)),IF($G8="可售建筑面积法",'附表1-面积统计表'!$F$34,IF($G8="其他合理方法","请填写","请选择分摊方法")))</f>
        <v/>
      </c>
      <c r="K8" s="233" t="str">
        <f t="shared" si="1"/>
        <v>请准确填写扣除比例</v>
      </c>
      <c r="L8" s="233" t="str">
        <f t="shared" si="2"/>
        <v>请准确填写扣除比例</v>
      </c>
      <c r="M8" s="233" t="str">
        <f t="shared" si="3"/>
        <v>请准确填写扣除比例</v>
      </c>
      <c r="N8" s="232">
        <f t="shared" si="4"/>
        <v>0</v>
      </c>
    </row>
    <row r="9" s="134" customFormat="1" ht="27.95" customHeight="1" spans="1:14">
      <c r="A9" s="213" t="s">
        <v>152</v>
      </c>
      <c r="B9" s="209" t="s">
        <v>261</v>
      </c>
      <c r="C9" s="210">
        <f>'附表5-扣除项目统计表'!E11+'附表5-扣除项目统计表'!I11</f>
        <v>0</v>
      </c>
      <c r="D9" s="210">
        <f>'附表5-扣除项目统计表'!F11+'附表5-扣除项目统计表'!J11</f>
        <v>0</v>
      </c>
      <c r="E9" s="210">
        <f>'附表5-扣除项目统计表'!G11+'附表5-扣除项目统计表'!K11</f>
        <v>0</v>
      </c>
      <c r="F9" s="210">
        <f t="shared" si="0"/>
        <v>0</v>
      </c>
      <c r="G9" s="211"/>
      <c r="H9" s="212"/>
      <c r="I9" s="212"/>
      <c r="J9" s="212"/>
      <c r="K9" s="232">
        <f>SUM(K10:K15)</f>
        <v>0</v>
      </c>
      <c r="L9" s="232">
        <f>SUM(L10:L15)</f>
        <v>0</v>
      </c>
      <c r="M9" s="232">
        <f>SUM(M10:M15)</f>
        <v>0</v>
      </c>
      <c r="N9" s="232">
        <f t="shared" si="4"/>
        <v>0</v>
      </c>
    </row>
    <row r="10" s="134" customFormat="1" ht="27.95" customHeight="1" spans="1:14">
      <c r="A10" s="216" t="s">
        <v>154</v>
      </c>
      <c r="B10" s="209" t="s">
        <v>214</v>
      </c>
      <c r="C10" s="210">
        <f>'附表5-扣除项目统计表'!E12+'附表5-扣除项目统计表'!I12</f>
        <v>0</v>
      </c>
      <c r="D10" s="210">
        <f>'附表5-扣除项目统计表'!F12+'附表5-扣除项目统计表'!J12</f>
        <v>0</v>
      </c>
      <c r="E10" s="210">
        <f>'附表5-扣除项目统计表'!G12+'附表5-扣除项目统计表'!K12</f>
        <v>0</v>
      </c>
      <c r="F10" s="210">
        <f t="shared" si="0"/>
        <v>0</v>
      </c>
      <c r="G10" s="214" t="s">
        <v>260</v>
      </c>
      <c r="H10" s="215" t="str">
        <f>IF(OR($G10="可售建筑面积法",$G10="可售建筑面积法（二分法）"),'附表1-面积统计表'!$F$32,IF($G10="其他合理方法","请填写","请选择分摊方法"))</f>
        <v/>
      </c>
      <c r="I10" s="215" t="str">
        <f>IF($G10="可售建筑面积法（二分法）",IF('附表1-面积统计表'!$D$33+'附表1-面积统计表'!$D$34=0,"",ROUND(('附表1-面积统计表'!$E$33+'附表1-面积统计表'!$E$34)/('附表1-面积统计表'!$D$33+'附表1-面积统计表'!$D$34),6)),IF($G10="可售建筑面积法",'附表1-面积统计表'!$F$33,IF($G10="其他合理方法","请填写","请选择分摊方法")))</f>
        <v/>
      </c>
      <c r="J10" s="215" t="str">
        <f>IF($G10="可售建筑面积法（二分法）",IF('附表1-面积统计表'!$D$33+'附表1-面积统计表'!$D$34=0,"",ROUND(('附表1-面积统计表'!$E$33+'附表1-面积统计表'!$E$34)/('附表1-面积统计表'!$D$33+'附表1-面积统计表'!$D$34),6)),IF($G10="可售建筑面积法",'附表1-面积统计表'!$F$34,IF($G10="其他合理方法","请填写","请选择分摊方法")))</f>
        <v/>
      </c>
      <c r="K10" s="233" t="str">
        <f>IF(AND(H10&lt;=1,H10&gt;=0),ROUND(C10*H10,2),"请准确填写扣除比例")</f>
        <v>请准确填写扣除比例</v>
      </c>
      <c r="L10" s="233" t="str">
        <f t="shared" si="2"/>
        <v>请准确填写扣除比例</v>
      </c>
      <c r="M10" s="233" t="str">
        <f t="shared" si="3"/>
        <v>请准确填写扣除比例</v>
      </c>
      <c r="N10" s="232">
        <f t="shared" si="4"/>
        <v>0</v>
      </c>
    </row>
    <row r="11" s="134" customFormat="1" ht="27.95" customHeight="1" spans="1:14">
      <c r="A11" s="216" t="s">
        <v>155</v>
      </c>
      <c r="B11" s="209" t="s">
        <v>210</v>
      </c>
      <c r="C11" s="210">
        <f>'附表5-扣除项目统计表'!E19+'附表5-扣除项目统计表'!I19</f>
        <v>0</v>
      </c>
      <c r="D11" s="210">
        <f>'附表5-扣除项目统计表'!F19+'附表5-扣除项目统计表'!J19</f>
        <v>0</v>
      </c>
      <c r="E11" s="210">
        <f>'附表5-扣除项目统计表'!G19+'附表5-扣除项目统计表'!K19</f>
        <v>0</v>
      </c>
      <c r="F11" s="210">
        <f t="shared" si="0"/>
        <v>0</v>
      </c>
      <c r="G11" s="214" t="s">
        <v>260</v>
      </c>
      <c r="H11" s="215" t="str">
        <f>IF(OR($G11="可售建筑面积法",$G11="可售建筑面积法（二分法）"),'附表1-面积统计表'!$F$32,IF($G11="其他合理方法","请填写","请选择分摊方法"))</f>
        <v/>
      </c>
      <c r="I11" s="215" t="str">
        <f>IF($G11="可售建筑面积法（二分法）",IF('附表1-面积统计表'!$D$33+'附表1-面积统计表'!$D$34=0,"",ROUND(('附表1-面积统计表'!$E$33+'附表1-面积统计表'!$E$34)/('附表1-面积统计表'!$D$33+'附表1-面积统计表'!$D$34),6)),IF($G11="可售建筑面积法",'附表1-面积统计表'!$F$33,IF($G11="其他合理方法","请填写","请选择分摊方法")))</f>
        <v/>
      </c>
      <c r="J11" s="215" t="str">
        <f>IF($G11="可售建筑面积法（二分法）",IF('附表1-面积统计表'!$D$33+'附表1-面积统计表'!$D$34=0,"",ROUND(('附表1-面积统计表'!$E$33+'附表1-面积统计表'!$E$34)/('附表1-面积统计表'!$D$33+'附表1-面积统计表'!$D$34),6)),IF($G11="可售建筑面积法",'附表1-面积统计表'!$F$34,IF($G11="其他合理方法","请填写","请选择分摊方法")))</f>
        <v/>
      </c>
      <c r="K11" s="233" t="str">
        <f t="shared" si="1"/>
        <v>请准确填写扣除比例</v>
      </c>
      <c r="L11" s="233" t="str">
        <f t="shared" si="2"/>
        <v>请准确填写扣除比例</v>
      </c>
      <c r="M11" s="233" t="str">
        <f t="shared" si="3"/>
        <v>请准确填写扣除比例</v>
      </c>
      <c r="N11" s="232">
        <f t="shared" si="4"/>
        <v>0</v>
      </c>
    </row>
    <row r="12" s="134" customFormat="1" ht="27.95" customHeight="1" spans="1:14">
      <c r="A12" s="216" t="s">
        <v>156</v>
      </c>
      <c r="B12" s="209" t="s">
        <v>211</v>
      </c>
      <c r="C12" s="210">
        <f>'附表5-扣除项目统计表'!E29+'附表5-扣除项目统计表'!I29</f>
        <v>0</v>
      </c>
      <c r="D12" s="210">
        <f>'附表5-扣除项目统计表'!F29+'附表5-扣除项目统计表'!J29</f>
        <v>0</v>
      </c>
      <c r="E12" s="210">
        <f>'附表5-扣除项目统计表'!G29+'附表5-扣除项目统计表'!K29</f>
        <v>0</v>
      </c>
      <c r="F12" s="210">
        <f t="shared" si="0"/>
        <v>0</v>
      </c>
      <c r="G12" s="214" t="s">
        <v>260</v>
      </c>
      <c r="H12" s="215" t="str">
        <f>IF(OR($G12="可售建筑面积法",$G12="可售建筑面积法（二分法）"),'附表1-面积统计表'!$F$32,IF($G12="其他合理方法","请填写","请选择分摊方法"))</f>
        <v/>
      </c>
      <c r="I12" s="215" t="str">
        <f>IF($G12="可售建筑面积法（二分法）",IF('附表1-面积统计表'!$D$33+'附表1-面积统计表'!$D$34=0,"",ROUND(('附表1-面积统计表'!$E$33+'附表1-面积统计表'!$E$34)/('附表1-面积统计表'!$D$33+'附表1-面积统计表'!$D$34),6)),IF($G12="可售建筑面积法",'附表1-面积统计表'!$F$33,IF($G12="其他合理方法","请填写","请选择分摊方法")))</f>
        <v/>
      </c>
      <c r="J12" s="215" t="str">
        <f>IF($G12="可售建筑面积法（二分法）",IF('附表1-面积统计表'!$D$33+'附表1-面积统计表'!$D$34=0,"",ROUND(('附表1-面积统计表'!$E$33+'附表1-面积统计表'!$E$34)/('附表1-面积统计表'!$D$33+'附表1-面积统计表'!$D$34),6)),IF($G12="可售建筑面积法",'附表1-面积统计表'!$F$34,IF($G12="其他合理方法","请填写","请选择分摊方法")))</f>
        <v/>
      </c>
      <c r="K12" s="233" t="str">
        <f t="shared" si="1"/>
        <v>请准确填写扣除比例</v>
      </c>
      <c r="L12" s="233" t="str">
        <f t="shared" si="2"/>
        <v>请准确填写扣除比例</v>
      </c>
      <c r="M12" s="233" t="str">
        <f t="shared" si="3"/>
        <v>请准确填写扣除比例</v>
      </c>
      <c r="N12" s="232">
        <f t="shared" si="4"/>
        <v>0</v>
      </c>
    </row>
    <row r="13" s="134" customFormat="1" ht="27.95" customHeight="1" spans="1:14">
      <c r="A13" s="216" t="s">
        <v>157</v>
      </c>
      <c r="B13" s="209" t="s">
        <v>212</v>
      </c>
      <c r="C13" s="210">
        <f>'附表5-扣除项目统计表'!E36+'附表5-扣除项目统计表'!I36</f>
        <v>0</v>
      </c>
      <c r="D13" s="210">
        <f>'附表5-扣除项目统计表'!F36+'附表5-扣除项目统计表'!J36</f>
        <v>0</v>
      </c>
      <c r="E13" s="210">
        <f>'附表5-扣除项目统计表'!G36+'附表5-扣除项目统计表'!K36</f>
        <v>0</v>
      </c>
      <c r="F13" s="210">
        <f t="shared" si="0"/>
        <v>0</v>
      </c>
      <c r="G13" s="214" t="s">
        <v>260</v>
      </c>
      <c r="H13" s="215" t="str">
        <f>IF(OR($G13="可售建筑面积法",$G13="可售建筑面积法（二分法）"),'附表1-面积统计表'!$F$32,IF($G13="其他合理方法","请填写","请选择分摊方法"))</f>
        <v/>
      </c>
      <c r="I13" s="215" t="str">
        <f>IF($G13="可售建筑面积法（二分法）",IF('附表1-面积统计表'!$D$33+'附表1-面积统计表'!$D$34=0,"",ROUND(('附表1-面积统计表'!$E$33+'附表1-面积统计表'!$E$34)/('附表1-面积统计表'!$D$33+'附表1-面积统计表'!$D$34),6)),IF($G13="可售建筑面积法",'附表1-面积统计表'!$F$33,IF($G13="其他合理方法","请填写","请选择分摊方法")))</f>
        <v/>
      </c>
      <c r="J13" s="215" t="str">
        <f>IF($G13="可售建筑面积法（二分法）",IF('附表1-面积统计表'!$D$33+'附表1-面积统计表'!$D$34=0,"",ROUND(('附表1-面积统计表'!$E$33+'附表1-面积统计表'!$E$34)/('附表1-面积统计表'!$D$33+'附表1-面积统计表'!$D$34),6)),IF($G13="可售建筑面积法",'附表1-面积统计表'!$F$34,IF($G13="其他合理方法","请填写","请选择分摊方法")))</f>
        <v/>
      </c>
      <c r="K13" s="233" t="str">
        <f t="shared" si="1"/>
        <v>请准确填写扣除比例</v>
      </c>
      <c r="L13" s="233" t="str">
        <f t="shared" si="2"/>
        <v>请准确填写扣除比例</v>
      </c>
      <c r="M13" s="233" t="str">
        <f t="shared" si="3"/>
        <v>请准确填写扣除比例</v>
      </c>
      <c r="N13" s="232">
        <f t="shared" si="4"/>
        <v>0</v>
      </c>
    </row>
    <row r="14" s="185" customFormat="1" ht="27.95" customHeight="1" spans="1:14">
      <c r="A14" s="216" t="s">
        <v>158</v>
      </c>
      <c r="B14" s="209" t="s">
        <v>215</v>
      </c>
      <c r="C14" s="210">
        <f>'附表5-扣除项目统计表'!E48+'附表5-扣除项目统计表'!I48</f>
        <v>0</v>
      </c>
      <c r="D14" s="210">
        <f>'附表5-扣除项目统计表'!F48+'附表5-扣除项目统计表'!J48</f>
        <v>0</v>
      </c>
      <c r="E14" s="210">
        <f>'附表5-扣除项目统计表'!G48+'附表5-扣除项目统计表'!K48</f>
        <v>0</v>
      </c>
      <c r="F14" s="210">
        <f t="shared" si="0"/>
        <v>0</v>
      </c>
      <c r="G14" s="214" t="s">
        <v>260</v>
      </c>
      <c r="H14" s="215" t="str">
        <f>IF(OR($G14="可售建筑面积法",$G14="可售建筑面积法（二分法）"),'附表1-面积统计表'!$F$32,IF($G14="其他合理方法","请填写","请选择分摊方法"))</f>
        <v/>
      </c>
      <c r="I14" s="215" t="str">
        <f>IF($G14="可售建筑面积法（二分法）",IF('附表1-面积统计表'!$D$33+'附表1-面积统计表'!$D$34=0,"",ROUND(('附表1-面积统计表'!$E$33+'附表1-面积统计表'!$E$34)/('附表1-面积统计表'!$D$33+'附表1-面积统计表'!$D$34),6)),IF($G14="可售建筑面积法",'附表1-面积统计表'!$F$33,IF($G14="其他合理方法","请填写","请选择分摊方法")))</f>
        <v/>
      </c>
      <c r="J14" s="215" t="str">
        <f>IF($G14="可售建筑面积法（二分法）",IF('附表1-面积统计表'!$D$33+'附表1-面积统计表'!$D$34=0,"",ROUND(('附表1-面积统计表'!$E$33+'附表1-面积统计表'!$E$34)/('附表1-面积统计表'!$D$33+'附表1-面积统计表'!$D$34),6)),IF($G14="可售建筑面积法",'附表1-面积统计表'!$F$34,IF($G14="其他合理方法","请填写","请选择分摊方法")))</f>
        <v/>
      </c>
      <c r="K14" s="233" t="str">
        <f t="shared" si="1"/>
        <v>请准确填写扣除比例</v>
      </c>
      <c r="L14" s="233" t="str">
        <f t="shared" si="2"/>
        <v>请准确填写扣除比例</v>
      </c>
      <c r="M14" s="233" t="str">
        <f t="shared" si="3"/>
        <v>请准确填写扣除比例</v>
      </c>
      <c r="N14" s="232">
        <f t="shared" si="4"/>
        <v>0</v>
      </c>
    </row>
    <row r="15" s="185" customFormat="1" ht="27.95" customHeight="1" spans="1:14">
      <c r="A15" s="216" t="s">
        <v>159</v>
      </c>
      <c r="B15" s="209" t="s">
        <v>216</v>
      </c>
      <c r="C15" s="210">
        <f>'附表5-扣除项目统计表'!E65+'附表5-扣除项目统计表'!I65</f>
        <v>0</v>
      </c>
      <c r="D15" s="210">
        <f>'附表5-扣除项目统计表'!F65+'附表5-扣除项目统计表'!J65</f>
        <v>0</v>
      </c>
      <c r="E15" s="210">
        <f>'附表5-扣除项目统计表'!G65+'附表5-扣除项目统计表'!K65</f>
        <v>0</v>
      </c>
      <c r="F15" s="210">
        <f t="shared" si="0"/>
        <v>0</v>
      </c>
      <c r="G15" s="214" t="s">
        <v>260</v>
      </c>
      <c r="H15" s="215" t="str">
        <f>IF(OR($G15="可售建筑面积法",$G15="可售建筑面积法（二分法）"),'附表1-面积统计表'!$F$32,IF($G15="其他合理方法","请填写","请选择分摊方法"))</f>
        <v/>
      </c>
      <c r="I15" s="215" t="str">
        <f>IF($G15="可售建筑面积法（二分法）",IF('附表1-面积统计表'!$D$33+'附表1-面积统计表'!$D$34=0,"",ROUND(('附表1-面积统计表'!$E$33+'附表1-面积统计表'!$E$34)/('附表1-面积统计表'!$D$33+'附表1-面积统计表'!$D$34),6)),IF($G15="可售建筑面积法",'附表1-面积统计表'!$F$33,IF($G15="其他合理方法","请填写","请选择分摊方法")))</f>
        <v/>
      </c>
      <c r="J15" s="215" t="str">
        <f>IF($G15="可售建筑面积法（二分法）",IF('附表1-面积统计表'!$D$33+'附表1-面积统计表'!$D$34=0,"",ROUND(('附表1-面积统计表'!$E$33+'附表1-面积统计表'!$E$34)/('附表1-面积统计表'!$D$33+'附表1-面积统计表'!$D$34),6)),IF($G15="可售建筑面积法",'附表1-面积统计表'!$F$34,IF($G15="其他合理方法","请填写","请选择分摊方法")))</f>
        <v/>
      </c>
      <c r="K15" s="233" t="str">
        <f t="shared" ref="K15:M16" si="5">IF(AND(H15&lt;=1,H15&gt;=0),ROUND(C15*H15,2),"请准确填写扣除比例")</f>
        <v>请准确填写扣除比例</v>
      </c>
      <c r="L15" s="233" t="str">
        <f t="shared" si="5"/>
        <v>请准确填写扣除比例</v>
      </c>
      <c r="M15" s="233" t="str">
        <f t="shared" si="5"/>
        <v>请准确填写扣除比例</v>
      </c>
      <c r="N15" s="232">
        <f t="shared" si="4"/>
        <v>0</v>
      </c>
    </row>
    <row r="16" s="185" customFormat="1" ht="27.95" customHeight="1" spans="1:14">
      <c r="A16" s="216" t="s">
        <v>150</v>
      </c>
      <c r="B16" s="209" t="s">
        <v>217</v>
      </c>
      <c r="C16" s="210">
        <f>'附表5-扣除项目统计表'!E75+'附表5-扣除项目统计表'!I75</f>
        <v>0</v>
      </c>
      <c r="D16" s="210">
        <f>'附表5-扣除项目统计表'!F75+'附表5-扣除项目统计表'!J75</f>
        <v>0</v>
      </c>
      <c r="E16" s="210">
        <f>'附表5-扣除项目统计表'!G75+'附表5-扣除项目统计表'!K75</f>
        <v>0</v>
      </c>
      <c r="F16" s="210">
        <f t="shared" si="0"/>
        <v>0</v>
      </c>
      <c r="G16" s="214" t="s">
        <v>260</v>
      </c>
      <c r="H16" s="215" t="str">
        <f>IF(OR($G16="可售建筑面积法",$G16="可售建筑面积法（二分法）"),'附表1-面积统计表'!$F$32,IF($G16="其他合理方法","请填写","请选择分摊方法"))</f>
        <v/>
      </c>
      <c r="I16" s="215" t="str">
        <f>IF($G16="可售建筑面积法（二分法）",IF('附表1-面积统计表'!$D$33+'附表1-面积统计表'!$D$34=0,"",ROUND(('附表1-面积统计表'!$E$33+'附表1-面积统计表'!$E$34)/('附表1-面积统计表'!$D$33+'附表1-面积统计表'!$D$34),6)),IF($G16="可售建筑面积法",'附表1-面积统计表'!$F$33,IF($G16="其他合理方法","请填写","请选择分摊方法")))</f>
        <v/>
      </c>
      <c r="J16" s="215" t="str">
        <f>IF($G16="可售建筑面积法（二分法）",IF('附表1-面积统计表'!$D$33+'附表1-面积统计表'!$D$34=0,"",ROUND(('附表1-面积统计表'!$E$33+'附表1-面积统计表'!$E$34)/('附表1-面积统计表'!$D$33+'附表1-面积统计表'!$D$34),6)),IF($G16="可售建筑面积法",'附表1-面积统计表'!$F$34,IF($G16="其他合理方法","请填写","请选择分摊方法")))</f>
        <v/>
      </c>
      <c r="K16" s="233" t="str">
        <f t="shared" si="5"/>
        <v>请准确填写扣除比例</v>
      </c>
      <c r="L16" s="233" t="str">
        <f t="shared" si="5"/>
        <v>请准确填写扣除比例</v>
      </c>
      <c r="M16" s="233" t="str">
        <f t="shared" si="5"/>
        <v>请准确填写扣除比例</v>
      </c>
      <c r="N16" s="232">
        <f t="shared" si="4"/>
        <v>0</v>
      </c>
    </row>
    <row r="17" s="185" customFormat="1" ht="27.95" customHeight="1" spans="1:14">
      <c r="A17" s="213" t="s">
        <v>161</v>
      </c>
      <c r="B17" s="209" t="s">
        <v>262</v>
      </c>
      <c r="C17" s="210">
        <f>'附表5-扣除项目统计表'!E76+'附表5-扣除项目统计表'!I76</f>
        <v>0</v>
      </c>
      <c r="D17" s="210">
        <f>'附表5-扣除项目统计表'!F76+'附表5-扣除项目统计表'!J76</f>
        <v>0</v>
      </c>
      <c r="E17" s="210">
        <f>'附表5-扣除项目统计表'!G76+'附表5-扣除项目统计表'!K76</f>
        <v>0</v>
      </c>
      <c r="F17" s="210">
        <f t="shared" si="0"/>
        <v>0</v>
      </c>
      <c r="G17" s="211"/>
      <c r="H17" s="212"/>
      <c r="I17" s="212"/>
      <c r="J17" s="212"/>
      <c r="K17" s="232">
        <f>SUM(K18:K19)</f>
        <v>0</v>
      </c>
      <c r="L17" s="232">
        <f>SUM(L18:L19)</f>
        <v>0</v>
      </c>
      <c r="M17" s="232">
        <f>SUM(M18:M19)</f>
        <v>0</v>
      </c>
      <c r="N17" s="232">
        <f t="shared" si="4"/>
        <v>0</v>
      </c>
    </row>
    <row r="18" s="134" customFormat="1" ht="27.95" customHeight="1" spans="1:14">
      <c r="A18" s="216" t="s">
        <v>163</v>
      </c>
      <c r="B18" s="209" t="s">
        <v>219</v>
      </c>
      <c r="C18" s="210">
        <f>'附表5-扣除项目统计表'!E77+'附表5-扣除项目统计表'!I77</f>
        <v>0</v>
      </c>
      <c r="D18" s="210">
        <f>'附表5-扣除项目统计表'!F77+'附表5-扣除项目统计表'!J77</f>
        <v>0</v>
      </c>
      <c r="E18" s="210">
        <f>'附表5-扣除项目统计表'!G77+'附表5-扣除项目统计表'!K77</f>
        <v>0</v>
      </c>
      <c r="F18" s="210">
        <f t="shared" si="0"/>
        <v>0</v>
      </c>
      <c r="G18" s="214" t="s">
        <v>260</v>
      </c>
      <c r="H18" s="215" t="str">
        <f>IF(OR($G18="可售建筑面积法",$G18="可售建筑面积法（二分法）"),'附表1-面积统计表'!$F$32,IF($G18="其他合理方法","请填写","请选择分摊方法"))</f>
        <v/>
      </c>
      <c r="I18" s="215" t="str">
        <f>IF($G18="可售建筑面积法（二分法）",IF('附表1-面积统计表'!$D$33+'附表1-面积统计表'!$D$34=0,"",ROUND(('附表1-面积统计表'!$E$33+'附表1-面积统计表'!$E$34)/('附表1-面积统计表'!$D$33+'附表1-面积统计表'!$D$34),6)),IF($G18="可售建筑面积法",'附表1-面积统计表'!$F$33,IF($G18="其他合理方法","请填写","请选择分摊方法")))</f>
        <v/>
      </c>
      <c r="J18" s="215" t="str">
        <f>IF($G18="可售建筑面积法（二分法）",IF('附表1-面积统计表'!$D$33+'附表1-面积统计表'!$D$34=0,"",ROUND(('附表1-面积统计表'!$E$33+'附表1-面积统计表'!$E$34)/('附表1-面积统计表'!$D$33+'附表1-面积统计表'!$D$34),6)),IF($G18="可售建筑面积法",'附表1-面积统计表'!$F$34,IF($G18="其他合理方法","请填写","请选择分摊方法")))</f>
        <v/>
      </c>
      <c r="K18" s="233">
        <f>IF('附表5-扣除项目统计表'!$D$77="据实扣除",IF(AND(H18&lt;=1,H18&gt;=0),ROUND(C18*H18,2),"请准确填写扣除比例"),0)</f>
        <v>0</v>
      </c>
      <c r="L18" s="233">
        <f>IF('附表5-扣除项目统计表'!$D$77="据实扣除",IF(AND(I18&lt;=1,I18&gt;=0),ROUND(D18*I18,2),"请准确填写扣除比例"),0)</f>
        <v>0</v>
      </c>
      <c r="M18" s="233">
        <f>IF('附表5-扣除项目统计表'!$D$77="据实扣除",IF(AND(J18&lt;=1,J18&gt;=0),ROUND(E18*J18,2),"请准确填写扣除比例"),0)</f>
        <v>0</v>
      </c>
      <c r="N18" s="232">
        <f t="shared" si="4"/>
        <v>0</v>
      </c>
    </row>
    <row r="19" s="134" customFormat="1" ht="27.95" customHeight="1" spans="1:14">
      <c r="A19" s="216" t="s">
        <v>164</v>
      </c>
      <c r="B19" s="209" t="s">
        <v>220</v>
      </c>
      <c r="C19" s="210">
        <f>'附表5-扣除项目统计表'!E78+'附表5-扣除项目统计表'!I78</f>
        <v>0</v>
      </c>
      <c r="D19" s="210">
        <f>'附表5-扣除项目统计表'!F78+'附表5-扣除项目统计表'!J78</f>
        <v>0</v>
      </c>
      <c r="E19" s="210">
        <f>'附表5-扣除项目统计表'!G78+'附表5-扣除项目统计表'!K78</f>
        <v>0</v>
      </c>
      <c r="F19" s="210">
        <f t="shared" si="0"/>
        <v>0</v>
      </c>
      <c r="G19" s="217" t="s">
        <v>263</v>
      </c>
      <c r="H19" s="218"/>
      <c r="I19" s="234"/>
      <c r="J19" s="234"/>
      <c r="K19" s="233">
        <f>IF(G19="与加计扣除一致",ROUND(IF('附表5-扣除项目统计表'!$D$77="计算扣除",((SUM(K7)-SUM(K8))+(SUM(K9)-SUM(K16)))*10%,((SUM(K7)-SUM(K8))+(SUM(K9)-SUM(K16)))*5%),2),"请准确填写普通住宅扣除金额。")</f>
        <v>0</v>
      </c>
      <c r="L19" s="233">
        <f>IF(G19="与加计扣除一致",ROUND(IF('附表5-扣除项目统计表'!$D$77="计算扣除",((SUM(L7)-SUM(L8))+(SUM(L9)-SUM(L16)))*10%,((SUM(L7)-SUM(L8))+(SUM(L9)-SUM(L16)))*5%),2),"请准确填写非普通住宅扣除金额。")</f>
        <v>0</v>
      </c>
      <c r="M19" s="233">
        <f>IF(G19="与加计扣除一致",ROUND(IF('附表5-扣除项目统计表'!$D$77="计算扣除",((SUM(M7)-SUM(M8))+(SUM(M9)-SUM(M16)))*10%,((SUM(M7)-SUM(M8))+(SUM(M9)-SUM(M16)))*5%),2),"请准确填写其他类型房地产扣除金额。")</f>
        <v>0</v>
      </c>
      <c r="N19" s="232">
        <f t="shared" si="4"/>
        <v>0</v>
      </c>
    </row>
    <row r="20" s="134" customFormat="1" ht="27.95" customHeight="1" spans="1:14">
      <c r="A20" s="213" t="s">
        <v>165</v>
      </c>
      <c r="B20" s="209" t="s">
        <v>264</v>
      </c>
      <c r="C20" s="219"/>
      <c r="D20" s="219"/>
      <c r="E20" s="219"/>
      <c r="F20" s="219"/>
      <c r="G20" s="220"/>
      <c r="H20" s="218"/>
      <c r="I20" s="234"/>
      <c r="J20" s="234"/>
      <c r="K20" s="232">
        <f>SUM(K21:K25)</f>
        <v>0</v>
      </c>
      <c r="L20" s="232">
        <f>SUM(L21:L25)</f>
        <v>0</v>
      </c>
      <c r="M20" s="232">
        <f>SUM(M21:M25)</f>
        <v>0</v>
      </c>
      <c r="N20" s="232">
        <f t="shared" si="4"/>
        <v>0</v>
      </c>
    </row>
    <row r="21" s="134" customFormat="1" ht="27.95" customHeight="1" spans="1:14">
      <c r="A21" s="216" t="s">
        <v>167</v>
      </c>
      <c r="B21" s="209" t="s">
        <v>222</v>
      </c>
      <c r="C21" s="219"/>
      <c r="D21" s="219"/>
      <c r="E21" s="219"/>
      <c r="F21" s="219"/>
      <c r="G21" s="220"/>
      <c r="H21" s="218"/>
      <c r="I21" s="234"/>
      <c r="J21" s="234"/>
      <c r="K21" s="232">
        <f>ROUND(SUM('附表5-扣除项目统计表'!E80),2)</f>
        <v>0</v>
      </c>
      <c r="L21" s="232">
        <f>ROUND(SUM('附表5-扣除项目统计表'!F80),2)</f>
        <v>0</v>
      </c>
      <c r="M21" s="232">
        <f>ROUND(SUM('附表5-扣除项目统计表'!G80),2)</f>
        <v>0</v>
      </c>
      <c r="N21" s="232">
        <f t="shared" si="4"/>
        <v>0</v>
      </c>
    </row>
    <row r="22" s="134" customFormat="1" ht="27.95" customHeight="1" spans="1:14">
      <c r="A22" s="216" t="s">
        <v>168</v>
      </c>
      <c r="B22" s="209" t="s">
        <v>223</v>
      </c>
      <c r="C22" s="219"/>
      <c r="D22" s="219"/>
      <c r="E22" s="219"/>
      <c r="F22" s="219"/>
      <c r="G22" s="220"/>
      <c r="H22" s="218"/>
      <c r="I22" s="234"/>
      <c r="J22" s="234"/>
      <c r="K22" s="232">
        <f>ROUND(SUM('附表5-扣除项目统计表'!E81),2)</f>
        <v>0</v>
      </c>
      <c r="L22" s="232">
        <f>ROUND(SUM('附表5-扣除项目统计表'!F81),2)</f>
        <v>0</v>
      </c>
      <c r="M22" s="232">
        <f>ROUND(SUM('附表5-扣除项目统计表'!G81),2)</f>
        <v>0</v>
      </c>
      <c r="N22" s="232">
        <f t="shared" si="4"/>
        <v>0</v>
      </c>
    </row>
    <row r="23" s="134" customFormat="1" ht="27.95" customHeight="1" spans="1:14">
      <c r="A23" s="216" t="s">
        <v>169</v>
      </c>
      <c r="B23" s="209" t="s">
        <v>224</v>
      </c>
      <c r="C23" s="219"/>
      <c r="D23" s="219"/>
      <c r="E23" s="219"/>
      <c r="F23" s="219"/>
      <c r="G23" s="220"/>
      <c r="H23" s="218"/>
      <c r="I23" s="234"/>
      <c r="J23" s="234"/>
      <c r="K23" s="232">
        <f>ROUND(SUM('附表5-扣除项目统计表'!E82),2)</f>
        <v>0</v>
      </c>
      <c r="L23" s="232">
        <f>ROUND(SUM('附表5-扣除项目统计表'!F82),2)</f>
        <v>0</v>
      </c>
      <c r="M23" s="232">
        <f>ROUND(SUM('附表5-扣除项目统计表'!G82),2)</f>
        <v>0</v>
      </c>
      <c r="N23" s="232">
        <f t="shared" si="4"/>
        <v>0</v>
      </c>
    </row>
    <row r="24" s="134" customFormat="1" ht="27.95" customHeight="1" spans="1:14">
      <c r="A24" s="216" t="s">
        <v>265</v>
      </c>
      <c r="B24" s="209" t="s">
        <v>225</v>
      </c>
      <c r="C24" s="219"/>
      <c r="D24" s="219"/>
      <c r="E24" s="219"/>
      <c r="F24" s="219"/>
      <c r="G24" s="220"/>
      <c r="H24" s="218"/>
      <c r="I24" s="234"/>
      <c r="J24" s="234"/>
      <c r="K24" s="232">
        <f>ROUND(SUM('附表5-扣除项目统计表'!E83),2)</f>
        <v>0</v>
      </c>
      <c r="L24" s="232">
        <f>ROUND(SUM('附表5-扣除项目统计表'!F83),2)</f>
        <v>0</v>
      </c>
      <c r="M24" s="232">
        <f>ROUND(SUM('附表5-扣除项目统计表'!G83),2)</f>
        <v>0</v>
      </c>
      <c r="N24" s="232">
        <f t="shared" si="4"/>
        <v>0</v>
      </c>
    </row>
    <row r="25" s="134" customFormat="1" ht="27.95" customHeight="1" spans="1:14">
      <c r="A25" s="216" t="s">
        <v>266</v>
      </c>
      <c r="B25" s="209" t="s">
        <v>226</v>
      </c>
      <c r="C25" s="219"/>
      <c r="D25" s="219"/>
      <c r="E25" s="219"/>
      <c r="F25" s="219"/>
      <c r="G25" s="220"/>
      <c r="H25" s="218"/>
      <c r="I25" s="234"/>
      <c r="J25" s="234"/>
      <c r="K25" s="232">
        <f>ROUND(SUM('附表5-扣除项目统计表'!E84),2)</f>
        <v>0</v>
      </c>
      <c r="L25" s="232">
        <f>ROUND(SUM('附表5-扣除项目统计表'!F84),2)</f>
        <v>0</v>
      </c>
      <c r="M25" s="232">
        <f>ROUND(SUM('附表5-扣除项目统计表'!G84),2)</f>
        <v>0</v>
      </c>
      <c r="N25" s="232">
        <f t="shared" si="4"/>
        <v>0</v>
      </c>
    </row>
    <row r="26" s="134" customFormat="1" ht="27.95" customHeight="1" spans="1:14">
      <c r="A26" s="213" t="s">
        <v>170</v>
      </c>
      <c r="B26" s="209" t="s">
        <v>267</v>
      </c>
      <c r="C26" s="210">
        <f>'附表5-扣除项目统计表'!E85+'附表5-扣除项目统计表'!I85</f>
        <v>0</v>
      </c>
      <c r="D26" s="210">
        <f>'附表5-扣除项目统计表'!F85+'附表5-扣除项目统计表'!J85</f>
        <v>0</v>
      </c>
      <c r="E26" s="210">
        <f>'附表5-扣除项目统计表'!G85+'附表5-扣除项目统计表'!K85</f>
        <v>0</v>
      </c>
      <c r="F26" s="210">
        <f>SUM(C26:E26)</f>
        <v>0</v>
      </c>
      <c r="G26" s="220"/>
      <c r="H26" s="218"/>
      <c r="I26" s="234"/>
      <c r="J26" s="234"/>
      <c r="K26" s="232">
        <f>ROUND((SUM(K7)-SUM(K8)+SUM(K9)-SUM(K16))*20%,2)</f>
        <v>0</v>
      </c>
      <c r="L26" s="232">
        <f>ROUND((SUM(L7)-SUM(L8)+SUM(L9)-SUM(L16))*20%,2)</f>
        <v>0</v>
      </c>
      <c r="M26" s="232">
        <f>ROUND((SUM(M7)-SUM(M8)+SUM(M9)-SUM(M16))*20%,2)</f>
        <v>0</v>
      </c>
      <c r="N26" s="232">
        <f t="shared" si="4"/>
        <v>0</v>
      </c>
    </row>
    <row r="27" s="134" customFormat="1" ht="27.95" customHeight="1" spans="1:14">
      <c r="A27" s="213" t="s">
        <v>171</v>
      </c>
      <c r="B27" s="209" t="s">
        <v>228</v>
      </c>
      <c r="C27" s="210">
        <f>SUM('附表5-扣除项目统计表'!E86)+SUM('附表5-扣除项目统计表'!I86)</f>
        <v>0</v>
      </c>
      <c r="D27" s="210">
        <f>SUM('附表5-扣除项目统计表'!F86)+SUM('附表5-扣除项目统计表'!J86)</f>
        <v>0</v>
      </c>
      <c r="E27" s="210">
        <f>SUM('附表5-扣除项目统计表'!G86)+SUM('附表5-扣除项目统计表'!K86)</f>
        <v>0</v>
      </c>
      <c r="F27" s="210">
        <f>SUM(C27:E27)</f>
        <v>0</v>
      </c>
      <c r="G27" s="214" t="s">
        <v>260</v>
      </c>
      <c r="H27" s="215" t="str">
        <f>IF(OR($G27="可售建筑面积法",$G27="可售建筑面积法（二分法）"),'附表1-面积统计表'!$F$32,IF($G27="其他合理方法","请填写","请选择分摊方法"))</f>
        <v/>
      </c>
      <c r="I27" s="215" t="str">
        <f>IF($G27="可售建筑面积法（二分法）",IF('附表1-面积统计表'!$D$33+'附表1-面积统计表'!$D$34=0,"",ROUND(('附表1-面积统计表'!$E$33+'附表1-面积统计表'!$E$34)/('附表1-面积统计表'!$D$33+'附表1-面积统计表'!$D$34),6)),IF($G27="可售建筑面积法",'附表1-面积统计表'!$F$33,IF($G27="其他合理方法","请填写","请选择分摊方法")))</f>
        <v/>
      </c>
      <c r="J27" s="215" t="str">
        <f>IF($G27="可售建筑面积法（二分法）",IF('附表1-面积统计表'!$D$33+'附表1-面积统计表'!$D$34=0,"",ROUND(('附表1-面积统计表'!$E$33+'附表1-面积统计表'!$E$34)/('附表1-面积统计表'!$D$33+'附表1-面积统计表'!$D$34),6)),IF($G27="可售建筑面积法",'附表1-面积统计表'!$F$34,IF($G27="其他合理方法","请填写","请选择分摊方法")))</f>
        <v/>
      </c>
      <c r="K27" s="233" t="str">
        <f>IF(AND(H27&lt;=1,H27&gt;=0),ROUND(C27*H27,2),"请准确填写扣除比例")</f>
        <v>请准确填写扣除比例</v>
      </c>
      <c r="L27" s="233" t="str">
        <f>IF(AND(I27&lt;=1,I27&gt;=0),ROUND(D27*I27,2),"请准确填写扣除比例")</f>
        <v>请准确填写扣除比例</v>
      </c>
      <c r="M27" s="233" t="str">
        <f>IF(AND(J27&lt;=1,J27&gt;=0),ROUND(E27*J27,2),"请准确填写扣除比例")</f>
        <v>请准确填写扣除比例</v>
      </c>
      <c r="N27" s="232">
        <f t="shared" si="4"/>
        <v>0</v>
      </c>
    </row>
    <row r="28" spans="1:14">
      <c r="A28" s="221"/>
      <c r="B28" s="222"/>
      <c r="C28" s="223"/>
      <c r="D28" s="223"/>
      <c r="E28" s="223"/>
      <c r="F28" s="223"/>
      <c r="G28" s="224"/>
      <c r="H28" s="225"/>
      <c r="I28" s="225"/>
      <c r="J28" s="225"/>
      <c r="K28" s="187"/>
      <c r="L28" s="187"/>
      <c r="M28" s="187"/>
      <c r="N28" s="187"/>
    </row>
    <row r="29" spans="1:14">
      <c r="A29" s="221"/>
      <c r="B29" s="222"/>
      <c r="C29" s="223"/>
      <c r="D29" s="223"/>
      <c r="E29" s="223"/>
      <c r="F29" s="223"/>
      <c r="G29" s="224"/>
      <c r="H29" s="225"/>
      <c r="I29" s="225"/>
      <c r="J29" s="225"/>
      <c r="K29" s="187"/>
      <c r="L29" s="187"/>
      <c r="M29" s="187"/>
      <c r="N29" s="187"/>
    </row>
    <row r="30" spans="11:14">
      <c r="K30" s="187"/>
      <c r="L30" s="187"/>
      <c r="M30" s="187"/>
      <c r="N30" s="187"/>
    </row>
    <row r="31" spans="11:14">
      <c r="K31" s="187"/>
      <c r="L31" s="187"/>
      <c r="M31" s="187"/>
      <c r="N31" s="187"/>
    </row>
    <row r="34" s="186" customFormat="1" spans="1:10">
      <c r="A34" s="226"/>
      <c r="B34" s="227"/>
      <c r="C34" s="189"/>
      <c r="D34" s="189"/>
      <c r="E34" s="189"/>
      <c r="F34" s="189"/>
      <c r="G34" s="228"/>
      <c r="H34" s="191"/>
      <c r="I34" s="191"/>
      <c r="J34" s="191"/>
    </row>
    <row r="35" s="186" customFormat="1" spans="2:10">
      <c r="B35" s="229"/>
      <c r="C35" s="230"/>
      <c r="D35" s="230"/>
      <c r="E35" s="230"/>
      <c r="F35" s="230"/>
      <c r="G35" s="228"/>
      <c r="H35" s="191"/>
      <c r="I35" s="191"/>
      <c r="J35" s="191"/>
    </row>
    <row r="36" s="186" customFormat="1" spans="2:10">
      <c r="B36" s="229"/>
      <c r="C36" s="230"/>
      <c r="D36" s="230"/>
      <c r="E36" s="230"/>
      <c r="F36" s="230"/>
      <c r="G36" s="228"/>
      <c r="H36" s="191"/>
      <c r="I36" s="191"/>
      <c r="J36" s="191"/>
    </row>
  </sheetData>
  <sheetProtection sheet="1" formatCells="0" formatColumns="0" formatRows="0" autoFilter="0" pivotTables="0" objects="1"/>
  <mergeCells count="7">
    <mergeCell ref="A1:N1"/>
    <mergeCell ref="A2:N2"/>
    <mergeCell ref="C3:F3"/>
    <mergeCell ref="G3:J3"/>
    <mergeCell ref="K3:N3"/>
    <mergeCell ref="A3:A5"/>
    <mergeCell ref="B3:B5"/>
  </mergeCells>
  <dataValidations count="3">
    <dataValidation allowBlank="1" showInputMessage="1" showErrorMessage="1" sqref="G6 G9 G17 F27 F6:F19"/>
    <dataValidation type="list" allowBlank="1" showInputMessage="1" showErrorMessage="1" sqref="G18 G27 G7:G8 G10:G16">
      <formula1>OFFSET(数据对照表!$AB$2,,MATCH(土地增值税税源明细表!$H$6,数据对照表!$AB$1:$AC$1,0)-1,COUNTA(OFFSET(数据对照表!$AB$2,,MATCH(土地增值税税源明细表!$H$6,数据对照表!$AB$1:$AC$1,0)-1,255)))</formula1>
    </dataValidation>
    <dataValidation type="list" allowBlank="1" showInputMessage="1" showErrorMessage="1" sqref="G19">
      <formula1>OFFSET(数据对照表!$AD$2,,,COUNTA(数据对照表!AD:AD)-1,1)</formula1>
    </dataValidation>
  </dataValidations>
  <printOptions horizontalCentered="1"/>
  <pageMargins left="0.747916666666667" right="0.747916666666667" top="0.984027777777778" bottom="0.984027777777778" header="0.511805555555556" footer="0.511805555555556"/>
  <pageSetup paperSize="9" scale="55" fitToHeight="0" orientation="landscape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14"/>
  <sheetViews>
    <sheetView zoomScale="110" zoomScaleNormal="110" workbookViewId="0">
      <selection activeCell="A1" sqref="$A1:$XFD1048576"/>
    </sheetView>
  </sheetViews>
  <sheetFormatPr defaultColWidth="8.875" defaultRowHeight="14.25"/>
  <cols>
    <col min="1" max="1" width="5.375" style="166" customWidth="1"/>
    <col min="2" max="2" width="15.875" style="167" customWidth="1"/>
    <col min="3" max="3" width="19.5" style="168" customWidth="1"/>
    <col min="4" max="4" width="17.125" style="167" customWidth="1"/>
    <col min="5" max="8" width="16.625" style="168" customWidth="1"/>
    <col min="9" max="9" width="16.625" style="169" customWidth="1"/>
    <col min="10" max="247" width="8.875" style="170"/>
    <col min="248" max="16384" width="8.875" style="19"/>
  </cols>
  <sheetData>
    <row r="1" s="39" customFormat="1" ht="21" spans="1:39">
      <c r="A1" s="75" t="str">
        <f>目录!A8&amp;目录!B8</f>
        <v>T23100附表4-项目间分摊信息采集表</v>
      </c>
      <c r="B1" s="75"/>
      <c r="C1" s="75"/>
      <c r="D1" s="75"/>
      <c r="E1" s="75"/>
      <c r="F1" s="75"/>
      <c r="G1" s="75"/>
      <c r="H1" s="75"/>
      <c r="I1" s="75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</row>
    <row r="2" s="39" customFormat="1" spans="1:16">
      <c r="A2" s="171" t="str">
        <f>土地增值税税源明细表!F5&amp;"："&amp;土地增值税税源明细表!H5&amp;"          "&amp;土地增值税税源明细表!A5&amp;"："&amp;土地增值税税源明细表!B5&amp;"          "&amp;"金额单位:人民币元(列至角分)"</f>
        <v>项目编码：          项目名称：          金额单位:人民币元(列至角分)</v>
      </c>
      <c r="B2" s="171"/>
      <c r="C2" s="171"/>
      <c r="D2" s="171"/>
      <c r="E2" s="171"/>
      <c r="F2" s="171"/>
      <c r="G2" s="171"/>
      <c r="H2" s="171"/>
      <c r="I2" s="171"/>
      <c r="J2" s="181"/>
      <c r="K2" s="181"/>
      <c r="L2" s="181"/>
      <c r="M2" s="181"/>
      <c r="N2" s="181"/>
      <c r="O2" s="181"/>
      <c r="P2" s="181"/>
    </row>
    <row r="3" s="39" customFormat="1" ht="28.5" customHeight="1" spans="1:9">
      <c r="A3" s="172" t="s">
        <v>67</v>
      </c>
      <c r="B3" s="173" t="s">
        <v>50</v>
      </c>
      <c r="C3" s="173" t="s">
        <v>268</v>
      </c>
      <c r="D3" s="174" t="s">
        <v>51</v>
      </c>
      <c r="E3" s="175" t="s">
        <v>269</v>
      </c>
      <c r="F3" s="175" t="s">
        <v>197</v>
      </c>
      <c r="G3" s="175" t="s">
        <v>199</v>
      </c>
      <c r="H3" s="173" t="s">
        <v>270</v>
      </c>
      <c r="I3" s="173" t="s">
        <v>271</v>
      </c>
    </row>
    <row r="4" s="39" customFormat="1" ht="20.25" customHeight="1" spans="1:9">
      <c r="A4" s="172"/>
      <c r="B4" s="369" t="s">
        <v>213</v>
      </c>
      <c r="C4" s="369" t="s">
        <v>206</v>
      </c>
      <c r="D4" s="369" t="s">
        <v>207</v>
      </c>
      <c r="E4" s="369" t="s">
        <v>208</v>
      </c>
      <c r="F4" s="369" t="s">
        <v>214</v>
      </c>
      <c r="G4" s="369" t="s">
        <v>210</v>
      </c>
      <c r="H4" s="369" t="s">
        <v>211</v>
      </c>
      <c r="I4" s="369" t="s">
        <v>212</v>
      </c>
    </row>
    <row r="5" spans="1:9">
      <c r="A5" s="6">
        <v>1</v>
      </c>
      <c r="B5" s="177" t="str">
        <f>IF(清算项目基本情况表!D6="","",清算项目基本情况表!D6)</f>
        <v/>
      </c>
      <c r="C5" s="178" t="s">
        <v>272</v>
      </c>
      <c r="D5" s="179" t="str">
        <f>IF(清算项目基本情况表!S6="","",清算项目基本情况表!S6)</f>
        <v/>
      </c>
      <c r="E5" s="178" t="str">
        <f>IF(清算项目基本情况表!D9="","",清算项目基本情况表!D9)</f>
        <v/>
      </c>
      <c r="F5" s="178" t="str">
        <f>IF(SUM('附表1-面积统计表'!D29)=0,"",'附表1-面积统计表'!D29)</f>
        <v/>
      </c>
      <c r="G5" s="178" t="str">
        <f>IF(SUM('附表1-面积统计表'!F29)=0,"",'附表1-面积统计表'!F29)</f>
        <v/>
      </c>
      <c r="H5" s="178"/>
      <c r="I5" s="182" t="s">
        <v>273</v>
      </c>
    </row>
    <row r="6" spans="1:9">
      <c r="A6" s="6">
        <v>2</v>
      </c>
      <c r="B6" s="177"/>
      <c r="C6" s="178"/>
      <c r="D6" s="179"/>
      <c r="E6" s="178"/>
      <c r="F6" s="178"/>
      <c r="G6" s="178"/>
      <c r="H6" s="178"/>
      <c r="I6" s="183"/>
    </row>
    <row r="7" spans="1:9">
      <c r="A7" s="6">
        <v>3</v>
      </c>
      <c r="B7" s="177"/>
      <c r="C7" s="178"/>
      <c r="D7" s="179"/>
      <c r="E7" s="178"/>
      <c r="F7" s="178"/>
      <c r="G7" s="178"/>
      <c r="H7" s="178"/>
      <c r="I7" s="183"/>
    </row>
    <row r="8" spans="1:9">
      <c r="A8" s="6">
        <v>4</v>
      </c>
      <c r="B8" s="177"/>
      <c r="C8" s="178"/>
      <c r="D8" s="179"/>
      <c r="E8" s="178"/>
      <c r="F8" s="178"/>
      <c r="G8" s="178"/>
      <c r="H8" s="178"/>
      <c r="I8" s="183"/>
    </row>
    <row r="9" spans="1:9">
      <c r="A9" s="6">
        <v>5</v>
      </c>
      <c r="B9" s="177"/>
      <c r="C9" s="178"/>
      <c r="D9" s="179"/>
      <c r="E9" s="178"/>
      <c r="F9" s="178"/>
      <c r="G9" s="178"/>
      <c r="H9" s="178"/>
      <c r="I9" s="183"/>
    </row>
    <row r="10" spans="1:9">
      <c r="A10" s="6">
        <v>6</v>
      </c>
      <c r="B10" s="177"/>
      <c r="C10" s="178"/>
      <c r="D10" s="179"/>
      <c r="E10" s="178"/>
      <c r="F10" s="178"/>
      <c r="G10" s="178"/>
      <c r="H10" s="178"/>
      <c r="I10" s="183"/>
    </row>
    <row r="11" spans="1:9">
      <c r="A11" s="6">
        <v>7</v>
      </c>
      <c r="B11" s="177"/>
      <c r="C11" s="178"/>
      <c r="D11" s="179"/>
      <c r="E11" s="178"/>
      <c r="F11" s="178"/>
      <c r="G11" s="178"/>
      <c r="H11" s="178"/>
      <c r="I11" s="183"/>
    </row>
    <row r="12" spans="1:9">
      <c r="A12" s="6">
        <v>8</v>
      </c>
      <c r="B12" s="177"/>
      <c r="C12" s="178"/>
      <c r="D12" s="179"/>
      <c r="E12" s="178"/>
      <c r="F12" s="178"/>
      <c r="G12" s="178"/>
      <c r="H12" s="178"/>
      <c r="I12" s="183"/>
    </row>
    <row r="13" spans="1:9">
      <c r="A13" s="6">
        <v>9</v>
      </c>
      <c r="B13" s="177"/>
      <c r="C13" s="178"/>
      <c r="D13" s="179"/>
      <c r="E13" s="178"/>
      <c r="F13" s="178"/>
      <c r="G13" s="178"/>
      <c r="H13" s="178"/>
      <c r="I13" s="183"/>
    </row>
    <row r="14" spans="1:9">
      <c r="A14" s="6">
        <v>10</v>
      </c>
      <c r="B14" s="177"/>
      <c r="C14" s="178"/>
      <c r="D14" s="179"/>
      <c r="E14" s="178"/>
      <c r="F14" s="178"/>
      <c r="G14" s="178"/>
      <c r="H14" s="178"/>
      <c r="I14" s="183"/>
    </row>
  </sheetData>
  <mergeCells count="3">
    <mergeCell ref="A1:I1"/>
    <mergeCell ref="A2:I2"/>
    <mergeCell ref="A3:A4"/>
  </mergeCells>
  <dataValidations count="1">
    <dataValidation type="list" allowBlank="1" showInputMessage="1" showErrorMessage="1" sqref="C5:C1048576">
      <formula1>"是,否"</formula1>
    </dataValidation>
  </dataValidations>
  <pageMargins left="0.747916666666667" right="0.747916666666667" top="0.984027777777778" bottom="0.984027777777778" header="0.511805555555556" footer="0.511805555555556"/>
  <pageSetup paperSize="9" scale="86" fitToHeight="0" orientation="landscape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7"/>
  <sheetViews>
    <sheetView topLeftCell="A25" workbookViewId="0">
      <selection activeCell="A25" sqref="$A1:$XFD1048576"/>
    </sheetView>
  </sheetViews>
  <sheetFormatPr defaultColWidth="3.625" defaultRowHeight="14.25"/>
  <cols>
    <col min="1" max="2" width="3.625" style="138"/>
    <col min="3" max="3" width="10.375" style="138" customWidth="1"/>
    <col min="4" max="4" width="16.875" style="138" customWidth="1"/>
    <col min="5" max="5" width="21.125" style="139" customWidth="1"/>
    <col min="6" max="6" width="20.625" style="139" customWidth="1"/>
    <col min="7" max="7" width="22.625" style="139" customWidth="1"/>
    <col min="8" max="8" width="11.625" style="139" customWidth="1"/>
    <col min="9" max="11" width="23.375" style="139" customWidth="1"/>
    <col min="12" max="12" width="10.5" style="139" customWidth="1"/>
    <col min="13" max="13" width="10.125" style="139" customWidth="1"/>
    <col min="14" max="16384" width="3.625" style="140"/>
  </cols>
  <sheetData>
    <row r="1" s="134" customFormat="1" ht="18.75" spans="1:13">
      <c r="A1" s="141" t="str">
        <f>目录!A9&amp;目录!B9</f>
        <v>T23200附表5-扣除项目统计表</v>
      </c>
      <c r="B1" s="141"/>
      <c r="C1" s="141"/>
      <c r="D1" s="141"/>
      <c r="E1" s="142"/>
      <c r="F1" s="142"/>
      <c r="G1" s="142"/>
      <c r="H1" s="142"/>
      <c r="I1" s="142"/>
      <c r="J1" s="142"/>
      <c r="K1" s="142"/>
      <c r="L1" s="142"/>
      <c r="M1" s="142"/>
    </row>
    <row r="2" s="134" customFormat="1" ht="18.75" customHeight="1" spans="1:13">
      <c r="A2" s="143" t="str">
        <f>土地增值税税源明细表!F5&amp;"："&amp;土地增值税税源明细表!H5&amp;"          "&amp;土地增值税税源明细表!A5&amp;"："&amp;土地增值税税源明细表!B5&amp;"          "&amp;"金额单位:人民币元(列至角分)"</f>
        <v>项目编码：          项目名称：          金额单位:人民币元(列至角分)</v>
      </c>
      <c r="B2" s="143"/>
      <c r="C2" s="143"/>
      <c r="D2" s="143"/>
      <c r="E2" s="144"/>
      <c r="F2" s="144"/>
      <c r="G2" s="144"/>
      <c r="H2" s="144"/>
      <c r="I2" s="144"/>
      <c r="J2" s="144"/>
      <c r="K2" s="144"/>
      <c r="L2" s="144"/>
      <c r="M2" s="144"/>
    </row>
    <row r="3" s="135" customFormat="1" ht="24" customHeight="1" spans="1:13">
      <c r="A3" s="145" t="s">
        <v>67</v>
      </c>
      <c r="B3" s="146" t="s">
        <v>249</v>
      </c>
      <c r="C3" s="146"/>
      <c r="D3" s="146"/>
      <c r="E3" s="147" t="s">
        <v>274</v>
      </c>
      <c r="F3" s="147"/>
      <c r="G3" s="147"/>
      <c r="H3" s="147"/>
      <c r="I3" s="155" t="s">
        <v>275</v>
      </c>
      <c r="J3" s="156"/>
      <c r="K3" s="156"/>
      <c r="L3" s="157"/>
      <c r="M3" s="89" t="s">
        <v>110</v>
      </c>
    </row>
    <row r="4" s="136" customFormat="1" ht="24" customHeight="1" spans="1:13">
      <c r="A4" s="148"/>
      <c r="B4" s="146"/>
      <c r="C4" s="146"/>
      <c r="D4" s="146"/>
      <c r="E4" s="89" t="s">
        <v>138</v>
      </c>
      <c r="F4" s="89" t="s">
        <v>139</v>
      </c>
      <c r="G4" s="89" t="s">
        <v>140</v>
      </c>
      <c r="H4" s="89" t="s">
        <v>247</v>
      </c>
      <c r="I4" s="89" t="s">
        <v>138</v>
      </c>
      <c r="J4" s="89" t="s">
        <v>139</v>
      </c>
      <c r="K4" s="89" t="s">
        <v>140</v>
      </c>
      <c r="L4" s="89" t="s">
        <v>247</v>
      </c>
      <c r="M4" s="89"/>
    </row>
    <row r="5" s="137" customFormat="1" ht="24" customHeight="1" spans="1:14">
      <c r="A5" s="149"/>
      <c r="B5" s="146"/>
      <c r="C5" s="146"/>
      <c r="D5" s="146"/>
      <c r="E5" s="360" t="s">
        <v>213</v>
      </c>
      <c r="F5" s="360" t="s">
        <v>206</v>
      </c>
      <c r="G5" s="360" t="s">
        <v>207</v>
      </c>
      <c r="H5" s="360" t="s">
        <v>248</v>
      </c>
      <c r="I5" s="360" t="s">
        <v>214</v>
      </c>
      <c r="J5" s="370" t="s">
        <v>210</v>
      </c>
      <c r="K5" s="360" t="s">
        <v>211</v>
      </c>
      <c r="L5" s="360" t="s">
        <v>276</v>
      </c>
      <c r="M5" s="360" t="s">
        <v>277</v>
      </c>
      <c r="N5" s="159"/>
    </row>
    <row r="6" s="134" customFormat="1" ht="24" customHeight="1" spans="1:13">
      <c r="A6" s="150">
        <v>1</v>
      </c>
      <c r="B6" s="151" t="str">
        <f>数据对照表!B1</f>
        <v>取得土地使用权所支付的金额</v>
      </c>
      <c r="C6" s="151"/>
      <c r="D6" s="151"/>
      <c r="E6" s="152">
        <f>SUMIFS('附表7-扣除项目明细采集底稿'!W:W,'附表7-扣除项目明细采集底稿'!D:D,数据对照表!B1,'附表7-扣除项目明细采集底稿'!V:V,"直接归集成本费用")</f>
        <v>0</v>
      </c>
      <c r="F6" s="152">
        <f>SUMIFS('附表7-扣除项目明细采集底稿'!X:X,'附表7-扣除项目明细采集底稿'!D:D,数据对照表!B1,'附表7-扣除项目明细采集底稿'!V:V,"直接归集成本费用")</f>
        <v>0</v>
      </c>
      <c r="G6" s="152">
        <f>SUMIFS('附表7-扣除项目明细采集底稿'!Y:Y,'附表7-扣除项目明细采集底稿'!D:D,数据对照表!B1,'附表7-扣除项目明细采集底稿'!V:V,"直接归集成本费用")</f>
        <v>0</v>
      </c>
      <c r="H6" s="153">
        <f t="shared" ref="H6:H20" si="0">SUM(E6:G6)</f>
        <v>0</v>
      </c>
      <c r="I6" s="152">
        <f>SUMIFS('附表7-扣除项目明细采集底稿'!W:W,'附表7-扣除项目明细采集底稿'!D:D,数据对照表!B1,'附表7-扣除项目明细采集底稿'!V:V,"共同成本费用")</f>
        <v>0</v>
      </c>
      <c r="J6" s="152">
        <f>SUMIFS('附表7-扣除项目明细采集底稿'!X:X,'附表7-扣除项目明细采集底稿'!D:D,数据对照表!B1,'附表7-扣除项目明细采集底稿'!V:V,"共同成本费用")</f>
        <v>0</v>
      </c>
      <c r="K6" s="152">
        <f>SUMIFS('附表7-扣除项目明细采集底稿'!Y:Y,'附表7-扣除项目明细采集底稿'!D:D,数据对照表!B1,'附表7-扣除项目明细采集底稿'!V:V,"共同成本费用")</f>
        <v>0</v>
      </c>
      <c r="L6" s="153">
        <f t="shared" ref="L6:L20" si="1">SUM(I6:K6)</f>
        <v>0</v>
      </c>
      <c r="M6" s="153">
        <f t="shared" ref="M6:M20" si="2">H6+L6</f>
        <v>0</v>
      </c>
    </row>
    <row r="7" s="134" customFormat="1" ht="24" customHeight="1" spans="1:13">
      <c r="A7" s="150">
        <v>2</v>
      </c>
      <c r="B7" s="150" t="s">
        <v>278</v>
      </c>
      <c r="C7" s="154" t="str">
        <f>数据对照表!B2</f>
        <v>支付的土地出让金额</v>
      </c>
      <c r="D7" s="154"/>
      <c r="E7" s="152">
        <f>SUMIFS('附表7-扣除项目明细采集底稿'!W:W,'附表7-扣除项目明细采集底稿'!E:E,数据对照表!B2,'附表7-扣除项目明细采集底稿'!V:V,"直接归集成本费用")</f>
        <v>0</v>
      </c>
      <c r="F7" s="152">
        <f>SUMIFS('附表7-扣除项目明细采集底稿'!X:X,'附表7-扣除项目明细采集底稿'!E:E,数据对照表!B2,'附表7-扣除项目明细采集底稿'!V:V,"直接归集成本费用")</f>
        <v>0</v>
      </c>
      <c r="G7" s="152">
        <f>SUMIFS('附表7-扣除项目明细采集底稿'!Y:Y,'附表7-扣除项目明细采集底稿'!E:E,数据对照表!B2,'附表7-扣除项目明细采集底稿'!V:V,"直接归集成本费用")</f>
        <v>0</v>
      </c>
      <c r="H7" s="153">
        <f t="shared" si="0"/>
        <v>0</v>
      </c>
      <c r="I7" s="152">
        <f>SUMIFS('附表7-扣除项目明细采集底稿'!W:W,'附表7-扣除项目明细采集底稿'!E:E,数据对照表!B2,'附表7-扣除项目明细采集底稿'!V:V,"共同成本费用")</f>
        <v>0</v>
      </c>
      <c r="J7" s="152">
        <f>SUMIFS('附表7-扣除项目明细采集底稿'!X:X,'附表7-扣除项目明细采集底稿'!E:E,数据对照表!B2,'附表7-扣除项目明细采集底稿'!V:V,"共同成本费用")</f>
        <v>0</v>
      </c>
      <c r="K7" s="152">
        <f>SUMIFS('附表7-扣除项目明细采集底稿'!Y:Y,'附表7-扣除项目明细采集底稿'!E:E,数据对照表!B2,'附表7-扣除项目明细采集底稿'!V:V,"共同成本费用")</f>
        <v>0</v>
      </c>
      <c r="L7" s="153">
        <f t="shared" si="1"/>
        <v>0</v>
      </c>
      <c r="M7" s="153">
        <f t="shared" si="2"/>
        <v>0</v>
      </c>
    </row>
    <row r="8" s="134" customFormat="1" ht="24" customHeight="1" spans="1:13">
      <c r="A8" s="150">
        <v>3</v>
      </c>
      <c r="B8" s="150"/>
      <c r="C8" s="154" t="str">
        <f>数据对照表!B3</f>
        <v>支付的地价款金额</v>
      </c>
      <c r="D8" s="154"/>
      <c r="E8" s="152">
        <f>SUMIFS('附表7-扣除项目明细采集底稿'!W:W,'附表7-扣除项目明细采集底稿'!E:E,数据对照表!B3,'附表7-扣除项目明细采集底稿'!V:V,"直接归集成本费用")</f>
        <v>0</v>
      </c>
      <c r="F8" s="152">
        <f>SUMIFS('附表7-扣除项目明细采集底稿'!X:X,'附表7-扣除项目明细采集底稿'!E:E,数据对照表!B3,'附表7-扣除项目明细采集底稿'!V:V,"直接归集成本费用")</f>
        <v>0</v>
      </c>
      <c r="G8" s="152">
        <f>SUMIFS('附表7-扣除项目明细采集底稿'!Y:Y,'附表7-扣除项目明细采集底稿'!E:E,数据对照表!B3,'附表7-扣除项目明细采集底稿'!V:V,"直接归集成本费用")</f>
        <v>0</v>
      </c>
      <c r="H8" s="153">
        <f t="shared" si="0"/>
        <v>0</v>
      </c>
      <c r="I8" s="152">
        <f>SUMIFS('附表7-扣除项目明细采集底稿'!W:W,'附表7-扣除项目明细采集底稿'!E:E,数据对照表!B3,'附表7-扣除项目明细采集底稿'!V:V,"共同成本费用")</f>
        <v>0</v>
      </c>
      <c r="J8" s="152">
        <f>SUMIFS('附表7-扣除项目明细采集底稿'!X:X,'附表7-扣除项目明细采集底稿'!E:E,数据对照表!B3,'附表7-扣除项目明细采集底稿'!V:V,"共同成本费用")</f>
        <v>0</v>
      </c>
      <c r="K8" s="152">
        <f>SUMIFS('附表7-扣除项目明细采集底稿'!Y:Y,'附表7-扣除项目明细采集底稿'!E:E,数据对照表!B3,'附表7-扣除项目明细采集底稿'!V:V,"共同成本费用")</f>
        <v>0</v>
      </c>
      <c r="L8" s="153">
        <f t="shared" si="1"/>
        <v>0</v>
      </c>
      <c r="M8" s="153">
        <f t="shared" si="2"/>
        <v>0</v>
      </c>
    </row>
    <row r="9" s="134" customFormat="1" ht="24" customHeight="1" spans="1:13">
      <c r="A9" s="150">
        <v>4</v>
      </c>
      <c r="B9" s="150"/>
      <c r="C9" s="154" t="str">
        <f>数据对照表!B4</f>
        <v>交纳的有关税费</v>
      </c>
      <c r="D9" s="154"/>
      <c r="E9" s="152">
        <f>SUMIFS('附表7-扣除项目明细采集底稿'!W:W,'附表7-扣除项目明细采集底稿'!E:E,数据对照表!B4,'附表7-扣除项目明细采集底稿'!V:V,"直接归集成本费用")</f>
        <v>0</v>
      </c>
      <c r="F9" s="152">
        <f>SUMIFS('附表7-扣除项目明细采集底稿'!X:X,'附表7-扣除项目明细采集底稿'!E:E,数据对照表!B4,'附表7-扣除项目明细采集底稿'!V:V,"直接归集成本费用")</f>
        <v>0</v>
      </c>
      <c r="G9" s="152">
        <f>SUMIFS('附表7-扣除项目明细采集底稿'!Y:Y,'附表7-扣除项目明细采集底稿'!E:E,数据对照表!B4,'附表7-扣除项目明细采集底稿'!V:V,"直接归集成本费用")</f>
        <v>0</v>
      </c>
      <c r="H9" s="153">
        <f t="shared" si="0"/>
        <v>0</v>
      </c>
      <c r="I9" s="152">
        <f>SUMIFS('附表7-扣除项目明细采集底稿'!W:W,'附表7-扣除项目明细采集底稿'!E:E,数据对照表!B4,'附表7-扣除项目明细采集底稿'!V:V,"共同成本费用")</f>
        <v>0</v>
      </c>
      <c r="J9" s="152">
        <f>SUMIFS('附表7-扣除项目明细采集底稿'!X:X,'附表7-扣除项目明细采集底稿'!E:E,数据对照表!B4,'附表7-扣除项目明细采集底稿'!V:V,"共同成本费用")</f>
        <v>0</v>
      </c>
      <c r="K9" s="152">
        <f>SUMIFS('附表7-扣除项目明细采集底稿'!Y:Y,'附表7-扣除项目明细采集底稿'!E:E,数据对照表!B4,'附表7-扣除项目明细采集底稿'!V:V,"共同成本费用")</f>
        <v>0</v>
      </c>
      <c r="L9" s="153">
        <f t="shared" si="1"/>
        <v>0</v>
      </c>
      <c r="M9" s="153">
        <f t="shared" si="2"/>
        <v>0</v>
      </c>
    </row>
    <row r="10" s="134" customFormat="1" ht="24" customHeight="1" spans="1:13">
      <c r="A10" s="150">
        <v>5</v>
      </c>
      <c r="B10" s="154" t="s">
        <v>150</v>
      </c>
      <c r="C10" s="154"/>
      <c r="D10" s="154"/>
      <c r="E10" s="152">
        <f>SUMIFS('附表7-扣除项目明细采集底稿'!W:W,'附表7-扣除项目明细采集底稿'!D:D,数据对照表!B1,'附表7-扣除项目明细采集底稿'!V:V,"直接归集成本费用",'附表7-扣除项目明细采集底稿'!AB:AB,"不可加计")</f>
        <v>0</v>
      </c>
      <c r="F10" s="152">
        <f>SUMIFS('附表7-扣除项目明细采集底稿'!X:X,'附表7-扣除项目明细采集底稿'!D:D,数据对照表!B1,'附表7-扣除项目明细采集底稿'!V:V,"直接归集成本费用",'附表7-扣除项目明细采集底稿'!AB:AB,"不可加计")</f>
        <v>0</v>
      </c>
      <c r="G10" s="152">
        <f>SUMIFS('附表7-扣除项目明细采集底稿'!Y:Y,'附表7-扣除项目明细采集底稿'!D:D,数据对照表!B1,'附表7-扣除项目明细采集底稿'!V:V,"直接归集成本费用",'附表7-扣除项目明细采集底稿'!AB:AB,"不可加计")</f>
        <v>0</v>
      </c>
      <c r="H10" s="153">
        <f t="shared" si="0"/>
        <v>0</v>
      </c>
      <c r="I10" s="152">
        <f>SUMIFS('附表7-扣除项目明细采集底稿'!W:W,'附表7-扣除项目明细采集底稿'!D:D,数据对照表!B1,'附表7-扣除项目明细采集底稿'!V:V,"共同成本费用",'附表7-扣除项目明细采集底稿'!AB:AB,"不可加计")</f>
        <v>0</v>
      </c>
      <c r="J10" s="152">
        <f>SUMIFS('附表7-扣除项目明细采集底稿'!X:X,'附表7-扣除项目明细采集底稿'!D:D,数据对照表!B1,'附表7-扣除项目明细采集底稿'!V:V,"共同成本费用",'附表7-扣除项目明细采集底稿'!AB:AB,"不可加计")</f>
        <v>0</v>
      </c>
      <c r="K10" s="152">
        <f>SUMIFS('附表7-扣除项目明细采集底稿'!Y:Y,'附表7-扣除项目明细采集底稿'!D:D,数据对照表!B1,'附表7-扣除项目明细采集底稿'!V:V,"共同成本费用",'附表7-扣除项目明细采集底稿'!AB:AB,"不可加计")</f>
        <v>0</v>
      </c>
      <c r="L10" s="153">
        <f t="shared" si="1"/>
        <v>0</v>
      </c>
      <c r="M10" s="153">
        <f t="shared" si="2"/>
        <v>0</v>
      </c>
    </row>
    <row r="11" s="134" customFormat="1" ht="24" customHeight="1" spans="1:13">
      <c r="A11" s="150">
        <v>6</v>
      </c>
      <c r="B11" s="154" t="s">
        <v>279</v>
      </c>
      <c r="C11" s="154"/>
      <c r="D11" s="154"/>
      <c r="E11" s="152">
        <f>SUM(SUMIFS('附表7-扣除项目明细采集底稿'!W:W,'附表7-扣除项目明细采集底稿'!D:D,{"土地征用及拆迁补偿费","前期工程费","建筑安装工程费","基础设施费","公共配套设施费","开发间接费用"},'附表7-扣除项目明细采集底稿'!V:V,"直接归集成本费用"))</f>
        <v>0</v>
      </c>
      <c r="F11" s="152">
        <f>SUM(SUMIFS('附表7-扣除项目明细采集底稿'!X:X,'附表7-扣除项目明细采集底稿'!D:D,{"土地征用及拆迁补偿费","前期工程费","建筑安装工程费","基础设施费","公共配套设施费","开发间接费用"},'附表7-扣除项目明细采集底稿'!V:V,"直接归集成本费用"))</f>
        <v>0</v>
      </c>
      <c r="G11" s="152">
        <f>SUM(SUMIFS('附表7-扣除项目明细采集底稿'!Y:Y,'附表7-扣除项目明细采集底稿'!D:D,{"土地征用及拆迁补偿费","前期工程费","建筑安装工程费","基础设施费","公共配套设施费","开发间接费用"},'附表7-扣除项目明细采集底稿'!V:V,"直接归集成本费用"))</f>
        <v>0</v>
      </c>
      <c r="H11" s="153">
        <f t="shared" si="0"/>
        <v>0</v>
      </c>
      <c r="I11" s="152">
        <f>SUM(SUMIFS('附表7-扣除项目明细采集底稿'!W:W,'附表7-扣除项目明细采集底稿'!D:D,{"土地征用及拆迁补偿费","前期工程费","建筑安装工程费","基础设施费","公共配套设施费","开发间接费用"},'附表7-扣除项目明细采集底稿'!V:V,"共同成本费用"))</f>
        <v>0</v>
      </c>
      <c r="J11" s="152">
        <f>SUM(SUMIFS('附表7-扣除项目明细采集底稿'!X:X,'附表7-扣除项目明细采集底稿'!D:D,{"土地征用及拆迁补偿费","前期工程费","建筑安装工程费","基础设施费","公共配套设施费","开发间接费用"},'附表7-扣除项目明细采集底稿'!V:V,"共同成本费用"))</f>
        <v>0</v>
      </c>
      <c r="K11" s="152">
        <f>SUM(SUMIFS('附表7-扣除项目明细采集底稿'!Y:Y,'附表7-扣除项目明细采集底稿'!D:D,{"土地征用及拆迁补偿费","前期工程费","建筑安装工程费","基础设施费","公共配套设施费","开发间接费用"},'附表7-扣除项目明细采集底稿'!V:V,"共同成本费用"))</f>
        <v>0</v>
      </c>
      <c r="L11" s="153">
        <f t="shared" si="1"/>
        <v>0</v>
      </c>
      <c r="M11" s="153">
        <f t="shared" si="2"/>
        <v>0</v>
      </c>
    </row>
    <row r="12" s="134" customFormat="1" ht="24" customHeight="1" spans="1:13">
      <c r="A12" s="150">
        <v>7</v>
      </c>
      <c r="B12" s="150" t="s">
        <v>278</v>
      </c>
      <c r="C12" s="151" t="str">
        <f>数据对照表!C1</f>
        <v>土地征用及拆迁补偿费</v>
      </c>
      <c r="D12" s="151"/>
      <c r="E12" s="152">
        <f>SUMIFS('附表7-扣除项目明细采集底稿'!W:W,'附表7-扣除项目明细采集底稿'!D:D,数据对照表!C1,'附表7-扣除项目明细采集底稿'!V:V,"直接归集成本费用")</f>
        <v>0</v>
      </c>
      <c r="F12" s="152">
        <f>SUMIFS('附表7-扣除项目明细采集底稿'!X:X,'附表7-扣除项目明细采集底稿'!D:D,数据对照表!C1,'附表7-扣除项目明细采集底稿'!V:V,"直接归集成本费用")</f>
        <v>0</v>
      </c>
      <c r="G12" s="152">
        <f>SUMIFS('附表7-扣除项目明细采集底稿'!Y:Y,'附表7-扣除项目明细采集底稿'!D:D,数据对照表!C1,'附表7-扣除项目明细采集底稿'!V:V,"直接归集成本费用")</f>
        <v>0</v>
      </c>
      <c r="H12" s="153">
        <f t="shared" si="0"/>
        <v>0</v>
      </c>
      <c r="I12" s="152">
        <f>SUMIFS('附表7-扣除项目明细采集底稿'!W:W,'附表7-扣除项目明细采集底稿'!D:D,数据对照表!C1,'附表7-扣除项目明细采集底稿'!V:V,"共同成本费用")</f>
        <v>0</v>
      </c>
      <c r="J12" s="152">
        <f>SUMIFS('附表7-扣除项目明细采集底稿'!X:X,'附表7-扣除项目明细采集底稿'!D:D,数据对照表!C1,'附表7-扣除项目明细采集底稿'!V:V,"共同成本费用")</f>
        <v>0</v>
      </c>
      <c r="K12" s="152">
        <f>SUMIFS('附表7-扣除项目明细采集底稿'!Y:Y,'附表7-扣除项目明细采集底稿'!D:D,数据对照表!C1,'附表7-扣除项目明细采集底稿'!V:V,"共同成本费用")</f>
        <v>0</v>
      </c>
      <c r="L12" s="153">
        <f t="shared" si="1"/>
        <v>0</v>
      </c>
      <c r="M12" s="153">
        <f t="shared" si="2"/>
        <v>0</v>
      </c>
    </row>
    <row r="13" s="134" customFormat="1" ht="24" customHeight="1" spans="1:13">
      <c r="A13" s="150">
        <v>8</v>
      </c>
      <c r="B13" s="150"/>
      <c r="C13" s="150" t="s">
        <v>278</v>
      </c>
      <c r="D13" s="154" t="str">
        <f>数据对照表!C2</f>
        <v>土地征用费用</v>
      </c>
      <c r="E13" s="152">
        <f>SUMIFS('附表7-扣除项目明细采集底稿'!W:W,'附表7-扣除项目明细采集底稿'!E:E,数据对照表!C2,'附表7-扣除项目明细采集底稿'!V:V,"直接归集成本费用")</f>
        <v>0</v>
      </c>
      <c r="F13" s="152">
        <f>SUMIFS('附表7-扣除项目明细采集底稿'!X:X,'附表7-扣除项目明细采集底稿'!E:E,数据对照表!C2,'附表7-扣除项目明细采集底稿'!V:V,"直接归集成本费用")</f>
        <v>0</v>
      </c>
      <c r="G13" s="152">
        <f>SUMIFS('附表7-扣除项目明细采集底稿'!Y:Y,'附表7-扣除项目明细采集底稿'!E:E,数据对照表!C2,'附表7-扣除项目明细采集底稿'!V:V,"直接归集成本费用")</f>
        <v>0</v>
      </c>
      <c r="H13" s="153">
        <f t="shared" si="0"/>
        <v>0</v>
      </c>
      <c r="I13" s="152">
        <f>SUMIFS('附表7-扣除项目明细采集底稿'!W:W,'附表7-扣除项目明细采集底稿'!E:E,数据对照表!C2,'附表7-扣除项目明细采集底稿'!V:V,"共同成本费用")</f>
        <v>0</v>
      </c>
      <c r="J13" s="152">
        <f>SUMIFS('附表7-扣除项目明细采集底稿'!X:X,'附表7-扣除项目明细采集底稿'!E:E,数据对照表!C2,'附表7-扣除项目明细采集底稿'!V:V,"共同成本费用")</f>
        <v>0</v>
      </c>
      <c r="K13" s="152">
        <f>SUMIFS('附表7-扣除项目明细采集底稿'!Y:Y,'附表7-扣除项目明细采集底稿'!E:E,数据对照表!C2,'附表7-扣除项目明细采集底稿'!V:V,"共同成本费用")</f>
        <v>0</v>
      </c>
      <c r="L13" s="153">
        <f t="shared" si="1"/>
        <v>0</v>
      </c>
      <c r="M13" s="153">
        <f t="shared" si="2"/>
        <v>0</v>
      </c>
    </row>
    <row r="14" s="134" customFormat="1" ht="24" customHeight="1" spans="1:13">
      <c r="A14" s="150">
        <v>9</v>
      </c>
      <c r="B14" s="150"/>
      <c r="C14" s="150"/>
      <c r="D14" s="154" t="str">
        <f>数据对照表!C3</f>
        <v>耕地占用税</v>
      </c>
      <c r="E14" s="152">
        <f>SUMIFS('附表7-扣除项目明细采集底稿'!W:W,'附表7-扣除项目明细采集底稿'!E:E,数据对照表!C3,'附表7-扣除项目明细采集底稿'!V:V,"直接归集成本费用")</f>
        <v>0</v>
      </c>
      <c r="F14" s="152">
        <f>SUMIFS('附表7-扣除项目明细采集底稿'!X:X,'附表7-扣除项目明细采集底稿'!E:E,数据对照表!C3,'附表7-扣除项目明细采集底稿'!V:V,"直接归集成本费用")</f>
        <v>0</v>
      </c>
      <c r="G14" s="152">
        <f>SUMIFS('附表7-扣除项目明细采集底稿'!Y:Y,'附表7-扣除项目明细采集底稿'!E:E,数据对照表!C3,'附表7-扣除项目明细采集底稿'!V:V,"直接归集成本费用")</f>
        <v>0</v>
      </c>
      <c r="H14" s="153">
        <f t="shared" si="0"/>
        <v>0</v>
      </c>
      <c r="I14" s="152">
        <f>SUMIFS('附表7-扣除项目明细采集底稿'!W:W,'附表7-扣除项目明细采集底稿'!E:E,数据对照表!C3,'附表7-扣除项目明细采集底稿'!V:V,"共同成本费用")</f>
        <v>0</v>
      </c>
      <c r="J14" s="152">
        <f>SUMIFS('附表7-扣除项目明细采集底稿'!X:X,'附表7-扣除项目明细采集底稿'!E:E,数据对照表!C3,'附表7-扣除项目明细采集底稿'!V:V,"共同成本费用")</f>
        <v>0</v>
      </c>
      <c r="K14" s="152">
        <f>SUMIFS('附表7-扣除项目明细采集底稿'!Y:Y,'附表7-扣除项目明细采集底稿'!E:E,数据对照表!C3,'附表7-扣除项目明细采集底稿'!V:V,"共同成本费用")</f>
        <v>0</v>
      </c>
      <c r="L14" s="153">
        <f t="shared" si="1"/>
        <v>0</v>
      </c>
      <c r="M14" s="153">
        <f t="shared" si="2"/>
        <v>0</v>
      </c>
    </row>
    <row r="15" s="134" customFormat="1" ht="24" customHeight="1" spans="1:13">
      <c r="A15" s="150">
        <v>10</v>
      </c>
      <c r="B15" s="150"/>
      <c r="C15" s="150"/>
      <c r="D15" s="154" t="str">
        <f>数据对照表!C4</f>
        <v>劳动力安置费</v>
      </c>
      <c r="E15" s="152">
        <f>SUMIFS('附表7-扣除项目明细采集底稿'!W:W,'附表7-扣除项目明细采集底稿'!E:E,数据对照表!C4,'附表7-扣除项目明细采集底稿'!V:V,"直接归集成本费用")</f>
        <v>0</v>
      </c>
      <c r="F15" s="152">
        <f>SUMIFS('附表7-扣除项目明细采集底稿'!X:X,'附表7-扣除项目明细采集底稿'!E:E,数据对照表!C4,'附表7-扣除项目明细采集底稿'!V:V,"直接归集成本费用")</f>
        <v>0</v>
      </c>
      <c r="G15" s="152">
        <f>SUMIFS('附表7-扣除项目明细采集底稿'!Y:Y,'附表7-扣除项目明细采集底稿'!E:E,数据对照表!C4,'附表7-扣除项目明细采集底稿'!V:V,"直接归集成本费用")</f>
        <v>0</v>
      </c>
      <c r="H15" s="153">
        <f t="shared" si="0"/>
        <v>0</v>
      </c>
      <c r="I15" s="152">
        <f>SUMIFS('附表7-扣除项目明细采集底稿'!W:W,'附表7-扣除项目明细采集底稿'!E:E,数据对照表!C4,'附表7-扣除项目明细采集底稿'!V:V,"共同成本费用")</f>
        <v>0</v>
      </c>
      <c r="J15" s="152">
        <f>SUMIFS('附表7-扣除项目明细采集底稿'!X:X,'附表7-扣除项目明细采集底稿'!E:E,数据对照表!C4,'附表7-扣除项目明细采集底稿'!V:V,"共同成本费用")</f>
        <v>0</v>
      </c>
      <c r="K15" s="152">
        <f>SUMIFS('附表7-扣除项目明细采集底稿'!Y:Y,'附表7-扣除项目明细采集底稿'!E:E,数据对照表!C4,'附表7-扣除项目明细采集底稿'!V:V,"共同成本费用")</f>
        <v>0</v>
      </c>
      <c r="L15" s="153">
        <f t="shared" si="1"/>
        <v>0</v>
      </c>
      <c r="M15" s="153">
        <f t="shared" si="2"/>
        <v>0</v>
      </c>
    </row>
    <row r="16" s="134" customFormat="1" ht="24" customHeight="1" spans="1:13">
      <c r="A16" s="150">
        <v>11</v>
      </c>
      <c r="B16" s="150"/>
      <c r="C16" s="150"/>
      <c r="D16" s="154" t="str">
        <f>数据对照表!C5</f>
        <v>安置动迁用房支出</v>
      </c>
      <c r="E16" s="152">
        <f>SUMIFS('附表7-扣除项目明细采集底稿'!W:W,'附表7-扣除项目明细采集底稿'!E:E,数据对照表!C5,'附表7-扣除项目明细采集底稿'!V:V,"直接归集成本费用")</f>
        <v>0</v>
      </c>
      <c r="F16" s="152">
        <f>SUMIFS('附表7-扣除项目明细采集底稿'!X:X,'附表7-扣除项目明细采集底稿'!E:E,数据对照表!C5,'附表7-扣除项目明细采集底稿'!V:V,"直接归集成本费用")</f>
        <v>0</v>
      </c>
      <c r="G16" s="152">
        <f>SUMIFS('附表7-扣除项目明细采集底稿'!Y:Y,'附表7-扣除项目明细采集底稿'!E:E,数据对照表!C5,'附表7-扣除项目明细采集底稿'!V:V,"直接归集成本费用")</f>
        <v>0</v>
      </c>
      <c r="H16" s="153">
        <f t="shared" si="0"/>
        <v>0</v>
      </c>
      <c r="I16" s="152">
        <f>SUMIFS('附表7-扣除项目明细采集底稿'!W:W,'附表7-扣除项目明细采集底稿'!E:E,数据对照表!C5,'附表7-扣除项目明细采集底稿'!V:V,"共同成本费用")</f>
        <v>0</v>
      </c>
      <c r="J16" s="152">
        <f>SUMIFS('附表7-扣除项目明细采集底稿'!X:X,'附表7-扣除项目明细采集底稿'!E:E,数据对照表!C5,'附表7-扣除项目明细采集底稿'!V:V,"共同成本费用")</f>
        <v>0</v>
      </c>
      <c r="K16" s="152">
        <f>SUMIFS('附表7-扣除项目明细采集底稿'!Y:Y,'附表7-扣除项目明细采集底稿'!E:E,数据对照表!C5,'附表7-扣除项目明细采集底稿'!V:V,"共同成本费用")</f>
        <v>0</v>
      </c>
      <c r="L16" s="153">
        <f t="shared" si="1"/>
        <v>0</v>
      </c>
      <c r="M16" s="153">
        <f t="shared" si="2"/>
        <v>0</v>
      </c>
    </row>
    <row r="17" s="134" customFormat="1" ht="24" customHeight="1" spans="1:13">
      <c r="A17" s="150">
        <v>12</v>
      </c>
      <c r="B17" s="150"/>
      <c r="C17" s="150"/>
      <c r="D17" s="154" t="str">
        <f>数据对照表!C6</f>
        <v>拆迁补偿费</v>
      </c>
      <c r="E17" s="152">
        <f>SUMIFS('附表7-扣除项目明细采集底稿'!W:W,'附表7-扣除项目明细采集底稿'!E:E,数据对照表!C6,'附表7-扣除项目明细采集底稿'!V:V,"直接归集成本费用")</f>
        <v>0</v>
      </c>
      <c r="F17" s="152">
        <f>SUMIFS('附表7-扣除项目明细采集底稿'!X:X,'附表7-扣除项目明细采集底稿'!E:E,数据对照表!C6,'附表7-扣除项目明细采集底稿'!V:V,"直接归集成本费用")</f>
        <v>0</v>
      </c>
      <c r="G17" s="152">
        <f>SUMIFS('附表7-扣除项目明细采集底稿'!Y:Y,'附表7-扣除项目明细采集底稿'!E:E,数据对照表!C6,'附表7-扣除项目明细采集底稿'!V:V,"直接归集成本费用")</f>
        <v>0</v>
      </c>
      <c r="H17" s="153">
        <f t="shared" si="0"/>
        <v>0</v>
      </c>
      <c r="I17" s="152">
        <f>SUMIFS('附表7-扣除项目明细采集底稿'!W:W,'附表7-扣除项目明细采集底稿'!E:E,数据对照表!C6,'附表7-扣除项目明细采集底稿'!V:V,"共同成本费用")</f>
        <v>0</v>
      </c>
      <c r="J17" s="152">
        <f>SUMIFS('附表7-扣除项目明细采集底稿'!X:X,'附表7-扣除项目明细采集底稿'!E:E,数据对照表!C6,'附表7-扣除项目明细采集底稿'!V:V,"共同成本费用")</f>
        <v>0</v>
      </c>
      <c r="K17" s="152">
        <f>SUMIFS('附表7-扣除项目明细采集底稿'!Y:Y,'附表7-扣除项目明细采集底稿'!E:E,数据对照表!C6,'附表7-扣除项目明细采集底稿'!V:V,"共同成本费用")</f>
        <v>0</v>
      </c>
      <c r="L17" s="153">
        <f t="shared" si="1"/>
        <v>0</v>
      </c>
      <c r="M17" s="153">
        <f t="shared" si="2"/>
        <v>0</v>
      </c>
    </row>
    <row r="18" s="134" customFormat="1" ht="27.95" customHeight="1" spans="1:13">
      <c r="A18" s="150">
        <v>13</v>
      </c>
      <c r="B18" s="150"/>
      <c r="C18" s="150"/>
      <c r="D18" s="154" t="str">
        <f>数据对照表!C7</f>
        <v>其他土地征用及拆迁补偿费</v>
      </c>
      <c r="E18" s="152">
        <f>SUMIFS('附表7-扣除项目明细采集底稿'!W:W,'附表7-扣除项目明细采集底稿'!E:E,数据对照表!C7,'附表7-扣除项目明细采集底稿'!V:V,"直接归集成本费用")</f>
        <v>0</v>
      </c>
      <c r="F18" s="152">
        <f>SUMIFS('附表7-扣除项目明细采集底稿'!X:X,'附表7-扣除项目明细采集底稿'!E:E,数据对照表!C7,'附表7-扣除项目明细采集底稿'!V:V,"直接归集成本费用")</f>
        <v>0</v>
      </c>
      <c r="G18" s="152">
        <f>SUMIFS('附表7-扣除项目明细采集底稿'!Y:Y,'附表7-扣除项目明细采集底稿'!E:E,数据对照表!C7,'附表7-扣除项目明细采集底稿'!V:V,"直接归集成本费用")</f>
        <v>0</v>
      </c>
      <c r="H18" s="153">
        <f t="shared" si="0"/>
        <v>0</v>
      </c>
      <c r="I18" s="152">
        <f>SUMIFS('附表7-扣除项目明细采集底稿'!W:W,'附表7-扣除项目明细采集底稿'!E:E,数据对照表!C7,'附表7-扣除项目明细采集底稿'!V:V,"共同成本费用")</f>
        <v>0</v>
      </c>
      <c r="J18" s="152">
        <f>SUMIFS('附表7-扣除项目明细采集底稿'!X:X,'附表7-扣除项目明细采集底稿'!E:E,数据对照表!C7,'附表7-扣除项目明细采集底稿'!V:V,"共同成本费用")</f>
        <v>0</v>
      </c>
      <c r="K18" s="152">
        <f>SUMIFS('附表7-扣除项目明细采集底稿'!Y:Y,'附表7-扣除项目明细采集底稿'!E:E,数据对照表!C7,'附表7-扣除项目明细采集底稿'!V:V,"共同成本费用")</f>
        <v>0</v>
      </c>
      <c r="L18" s="153">
        <f t="shared" si="1"/>
        <v>0</v>
      </c>
      <c r="M18" s="153">
        <f t="shared" si="2"/>
        <v>0</v>
      </c>
    </row>
    <row r="19" s="134" customFormat="1" ht="24" customHeight="1" spans="1:13">
      <c r="A19" s="150">
        <v>14</v>
      </c>
      <c r="B19" s="150"/>
      <c r="C19" s="154" t="str">
        <f>数据对照表!D1</f>
        <v>前期工程费</v>
      </c>
      <c r="D19" s="154"/>
      <c r="E19" s="152">
        <f>SUMIFS('附表7-扣除项目明细采集底稿'!W:W,'附表7-扣除项目明细采集底稿'!D:D,数据对照表!D1,'附表7-扣除项目明细采集底稿'!V:V,"直接归集成本费用")</f>
        <v>0</v>
      </c>
      <c r="F19" s="152">
        <f>SUMIFS('附表7-扣除项目明细采集底稿'!X:X,'附表7-扣除项目明细采集底稿'!D:D,数据对照表!D1,'附表7-扣除项目明细采集底稿'!V:V,"直接归集成本费用")</f>
        <v>0</v>
      </c>
      <c r="G19" s="152">
        <f>SUMIFS('附表7-扣除项目明细采集底稿'!Y:Y,'附表7-扣除项目明细采集底稿'!D:D,数据对照表!D1,'附表7-扣除项目明细采集底稿'!V:V,"直接归集成本费用")</f>
        <v>0</v>
      </c>
      <c r="H19" s="153">
        <f t="shared" si="0"/>
        <v>0</v>
      </c>
      <c r="I19" s="152">
        <f>SUMIFS('附表7-扣除项目明细采集底稿'!W:W,'附表7-扣除项目明细采集底稿'!D:D,数据对照表!D1,'附表7-扣除项目明细采集底稿'!V:V,"共同成本费用")</f>
        <v>0</v>
      </c>
      <c r="J19" s="152">
        <f>SUMIFS('附表7-扣除项目明细采集底稿'!X:X,'附表7-扣除项目明细采集底稿'!D:D,数据对照表!D1,'附表7-扣除项目明细采集底稿'!V:V,"共同成本费用")</f>
        <v>0</v>
      </c>
      <c r="K19" s="152">
        <f>SUMIFS('附表7-扣除项目明细采集底稿'!Y:Y,'附表7-扣除项目明细采集底稿'!D:D,数据对照表!D1,'附表7-扣除项目明细采集底稿'!V:V,"共同成本费用")</f>
        <v>0</v>
      </c>
      <c r="L19" s="153">
        <f t="shared" si="1"/>
        <v>0</v>
      </c>
      <c r="M19" s="153">
        <f t="shared" si="2"/>
        <v>0</v>
      </c>
    </row>
    <row r="20" s="134" customFormat="1" ht="24" customHeight="1" spans="1:13">
      <c r="A20" s="150">
        <v>15</v>
      </c>
      <c r="B20" s="150"/>
      <c r="C20" s="150" t="s">
        <v>278</v>
      </c>
      <c r="D20" s="154" t="str">
        <f>数据对照表!D2</f>
        <v>规划费用</v>
      </c>
      <c r="E20" s="152">
        <f>SUMIFS('附表7-扣除项目明细采集底稿'!W:W,'附表7-扣除项目明细采集底稿'!E:E,数据对照表!D2,'附表7-扣除项目明细采集底稿'!V:V,"直接归集成本费用")</f>
        <v>0</v>
      </c>
      <c r="F20" s="152">
        <f>SUMIFS('附表7-扣除项目明细采集底稿'!X:X,'附表7-扣除项目明细采集底稿'!E:E,数据对照表!D2,'附表7-扣除项目明细采集底稿'!V:V,"直接归集成本费用")</f>
        <v>0</v>
      </c>
      <c r="G20" s="152">
        <f>SUMIFS('附表7-扣除项目明细采集底稿'!Y:Y,'附表7-扣除项目明细采集底稿'!E:E,数据对照表!D2,'附表7-扣除项目明细采集底稿'!V:V,"直接归集成本费用")</f>
        <v>0</v>
      </c>
      <c r="H20" s="153">
        <f t="shared" si="0"/>
        <v>0</v>
      </c>
      <c r="I20" s="152">
        <f>SUMIFS('附表7-扣除项目明细采集底稿'!W:W,'附表7-扣除项目明细采集底稿'!E:E,数据对照表!D2,'附表7-扣除项目明细采集底稿'!V:V,"共同成本费用")</f>
        <v>0</v>
      </c>
      <c r="J20" s="152">
        <f>SUMIFS('附表7-扣除项目明细采集底稿'!X:X,'附表7-扣除项目明细采集底稿'!E:E,数据对照表!D2,'附表7-扣除项目明细采集底稿'!V:V,"共同成本费用")</f>
        <v>0</v>
      </c>
      <c r="K20" s="152">
        <f>SUMIFS('附表7-扣除项目明细采集底稿'!Y:Y,'附表7-扣除项目明细采集底稿'!E:E,数据对照表!D2,'附表7-扣除项目明细采集底稿'!V:V,"共同成本费用")</f>
        <v>0</v>
      </c>
      <c r="L20" s="153">
        <f t="shared" si="1"/>
        <v>0</v>
      </c>
      <c r="M20" s="153">
        <f t="shared" si="2"/>
        <v>0</v>
      </c>
    </row>
    <row r="21" s="134" customFormat="1" ht="24" customHeight="1" spans="1:13">
      <c r="A21" s="150">
        <v>16</v>
      </c>
      <c r="B21" s="150"/>
      <c r="C21" s="150"/>
      <c r="D21" s="154" t="str">
        <f>数据对照表!D3</f>
        <v>设计费用</v>
      </c>
      <c r="E21" s="152">
        <f>SUMIFS('附表7-扣除项目明细采集底稿'!W:W,'附表7-扣除项目明细采集底稿'!E:E,数据对照表!D3,'附表7-扣除项目明细采集底稿'!V:V,"直接归集成本费用")</f>
        <v>0</v>
      </c>
      <c r="F21" s="152">
        <f>SUMIFS('附表7-扣除项目明细采集底稿'!X:X,'附表7-扣除项目明细采集底稿'!E:E,数据对照表!D3,'附表7-扣除项目明细采集底稿'!V:V,"直接归集成本费用")</f>
        <v>0</v>
      </c>
      <c r="G21" s="152">
        <f>SUMIFS('附表7-扣除项目明细采集底稿'!Y:Y,'附表7-扣除项目明细采集底稿'!E:E,数据对照表!D3,'附表7-扣除项目明细采集底稿'!V:V,"直接归集成本费用")</f>
        <v>0</v>
      </c>
      <c r="H21" s="153">
        <f t="shared" ref="H21:H37" si="3">SUM(E21:G21)</f>
        <v>0</v>
      </c>
      <c r="I21" s="152">
        <f>SUMIFS('附表7-扣除项目明细采集底稿'!W:W,'附表7-扣除项目明细采集底稿'!E:E,数据对照表!D3,'附表7-扣除项目明细采集底稿'!V:V,"共同成本费用")</f>
        <v>0</v>
      </c>
      <c r="J21" s="152">
        <f>SUMIFS('附表7-扣除项目明细采集底稿'!X:X,'附表7-扣除项目明细采集底稿'!E:E,数据对照表!D3,'附表7-扣除项目明细采集底稿'!V:V,"共同成本费用")</f>
        <v>0</v>
      </c>
      <c r="K21" s="152">
        <f>SUMIFS('附表7-扣除项目明细采集底稿'!Y:Y,'附表7-扣除项目明细采集底稿'!E:E,数据对照表!D3,'附表7-扣除项目明细采集底稿'!V:V,"共同成本费用")</f>
        <v>0</v>
      </c>
      <c r="L21" s="153">
        <f t="shared" ref="L21:L37" si="4">SUM(I21:K21)</f>
        <v>0</v>
      </c>
      <c r="M21" s="153">
        <f t="shared" ref="M21:M37" si="5">H21+L21</f>
        <v>0</v>
      </c>
    </row>
    <row r="22" s="134" customFormat="1" ht="24" customHeight="1" spans="1:13">
      <c r="A22" s="150">
        <v>17</v>
      </c>
      <c r="B22" s="150"/>
      <c r="C22" s="150"/>
      <c r="D22" s="154" t="str">
        <f>数据对照表!D4</f>
        <v>项目可行性研究费用</v>
      </c>
      <c r="E22" s="152">
        <f>SUMIFS('附表7-扣除项目明细采集底稿'!W:W,'附表7-扣除项目明细采集底稿'!E:E,数据对照表!D4,'附表7-扣除项目明细采集底稿'!V:V,"直接归集成本费用")</f>
        <v>0</v>
      </c>
      <c r="F22" s="152">
        <f>SUMIFS('附表7-扣除项目明细采集底稿'!X:X,'附表7-扣除项目明细采集底稿'!E:E,数据对照表!D4,'附表7-扣除项目明细采集底稿'!V:V,"直接归集成本费用")</f>
        <v>0</v>
      </c>
      <c r="G22" s="152">
        <f>SUMIFS('附表7-扣除项目明细采集底稿'!Y:Y,'附表7-扣除项目明细采集底稿'!E:E,数据对照表!D4,'附表7-扣除项目明细采集底稿'!V:V,"直接归集成本费用")</f>
        <v>0</v>
      </c>
      <c r="H22" s="153">
        <f t="shared" si="3"/>
        <v>0</v>
      </c>
      <c r="I22" s="152">
        <f>SUMIFS('附表7-扣除项目明细采集底稿'!W:W,'附表7-扣除项目明细采集底稿'!E:E,数据对照表!D4,'附表7-扣除项目明细采集底稿'!V:V,"共同成本费用")</f>
        <v>0</v>
      </c>
      <c r="J22" s="152">
        <f>SUMIFS('附表7-扣除项目明细采集底稿'!X:X,'附表7-扣除项目明细采集底稿'!E:E,数据对照表!D4,'附表7-扣除项目明细采集底稿'!V:V,"共同成本费用")</f>
        <v>0</v>
      </c>
      <c r="K22" s="152">
        <f>SUMIFS('附表7-扣除项目明细采集底稿'!Y:Y,'附表7-扣除项目明细采集底稿'!E:E,数据对照表!D4,'附表7-扣除项目明细采集底稿'!V:V,"共同成本费用")</f>
        <v>0</v>
      </c>
      <c r="L22" s="153">
        <f t="shared" si="4"/>
        <v>0</v>
      </c>
      <c r="M22" s="153">
        <f t="shared" si="5"/>
        <v>0</v>
      </c>
    </row>
    <row r="23" s="134" customFormat="1" ht="24" customHeight="1" spans="1:13">
      <c r="A23" s="150">
        <v>18</v>
      </c>
      <c r="B23" s="150"/>
      <c r="C23" s="150"/>
      <c r="D23" s="154" t="str">
        <f>数据对照表!D5</f>
        <v>水文费用</v>
      </c>
      <c r="E23" s="152">
        <f>SUMIFS('附表7-扣除项目明细采集底稿'!W:W,'附表7-扣除项目明细采集底稿'!E:E,数据对照表!D5,'附表7-扣除项目明细采集底稿'!V:V,"直接归集成本费用")</f>
        <v>0</v>
      </c>
      <c r="F23" s="152">
        <f>SUMIFS('附表7-扣除项目明细采集底稿'!X:X,'附表7-扣除项目明细采集底稿'!E:E,数据对照表!D5,'附表7-扣除项目明细采集底稿'!V:V,"直接归集成本费用")</f>
        <v>0</v>
      </c>
      <c r="G23" s="152">
        <f>SUMIFS('附表7-扣除项目明细采集底稿'!Y:Y,'附表7-扣除项目明细采集底稿'!E:E,数据对照表!D5,'附表7-扣除项目明细采集底稿'!V:V,"直接归集成本费用")</f>
        <v>0</v>
      </c>
      <c r="H23" s="153">
        <f t="shared" si="3"/>
        <v>0</v>
      </c>
      <c r="I23" s="152">
        <f>SUMIFS('附表7-扣除项目明细采集底稿'!W:W,'附表7-扣除项目明细采集底稿'!E:E,数据对照表!D5,'附表7-扣除项目明细采集底稿'!V:V,"共同成本费用")</f>
        <v>0</v>
      </c>
      <c r="J23" s="152">
        <f>SUMIFS('附表7-扣除项目明细采集底稿'!X:X,'附表7-扣除项目明细采集底稿'!E:E,数据对照表!D5,'附表7-扣除项目明细采集底稿'!V:V,"共同成本费用")</f>
        <v>0</v>
      </c>
      <c r="K23" s="152">
        <f>SUMIFS('附表7-扣除项目明细采集底稿'!Y:Y,'附表7-扣除项目明细采集底稿'!E:E,数据对照表!D5,'附表7-扣除项目明细采集底稿'!V:V,"共同成本费用")</f>
        <v>0</v>
      </c>
      <c r="L23" s="153">
        <f t="shared" si="4"/>
        <v>0</v>
      </c>
      <c r="M23" s="153">
        <f t="shared" si="5"/>
        <v>0</v>
      </c>
    </row>
    <row r="24" s="134" customFormat="1" ht="24" customHeight="1" spans="1:13">
      <c r="A24" s="150">
        <v>19</v>
      </c>
      <c r="B24" s="150"/>
      <c r="C24" s="150"/>
      <c r="D24" s="154" t="str">
        <f>数据对照表!D6</f>
        <v>地质费用</v>
      </c>
      <c r="E24" s="152">
        <f>SUMIFS('附表7-扣除项目明细采集底稿'!W:W,'附表7-扣除项目明细采集底稿'!E:E,数据对照表!D6,'附表7-扣除项目明细采集底稿'!V:V,"直接归集成本费用")</f>
        <v>0</v>
      </c>
      <c r="F24" s="152">
        <f>SUMIFS('附表7-扣除项目明细采集底稿'!X:X,'附表7-扣除项目明细采集底稿'!E:E,数据对照表!D6,'附表7-扣除项目明细采集底稿'!V:V,"直接归集成本费用")</f>
        <v>0</v>
      </c>
      <c r="G24" s="152">
        <f>SUMIFS('附表7-扣除项目明细采集底稿'!Y:Y,'附表7-扣除项目明细采集底稿'!E:E,数据对照表!D6,'附表7-扣除项目明细采集底稿'!V:V,"直接归集成本费用")</f>
        <v>0</v>
      </c>
      <c r="H24" s="153">
        <f t="shared" si="3"/>
        <v>0</v>
      </c>
      <c r="I24" s="152">
        <f>SUMIFS('附表7-扣除项目明细采集底稿'!W:W,'附表7-扣除项目明细采集底稿'!E:E,数据对照表!D6,'附表7-扣除项目明细采集底稿'!V:V,"共同成本费用")</f>
        <v>0</v>
      </c>
      <c r="J24" s="152">
        <f>SUMIFS('附表7-扣除项目明细采集底稿'!X:X,'附表7-扣除项目明细采集底稿'!E:E,数据对照表!D6,'附表7-扣除项目明细采集底稿'!V:V,"共同成本费用")</f>
        <v>0</v>
      </c>
      <c r="K24" s="152">
        <f>SUMIFS('附表7-扣除项目明细采集底稿'!Y:Y,'附表7-扣除项目明细采集底稿'!E:E,数据对照表!D6,'附表7-扣除项目明细采集底稿'!V:V,"共同成本费用")</f>
        <v>0</v>
      </c>
      <c r="L24" s="153">
        <f t="shared" si="4"/>
        <v>0</v>
      </c>
      <c r="M24" s="153">
        <f t="shared" si="5"/>
        <v>0</v>
      </c>
    </row>
    <row r="25" s="134" customFormat="1" ht="24" customHeight="1" spans="1:13">
      <c r="A25" s="150">
        <v>20</v>
      </c>
      <c r="B25" s="150"/>
      <c r="C25" s="150"/>
      <c r="D25" s="154" t="str">
        <f>数据对照表!D7</f>
        <v>勘探费用</v>
      </c>
      <c r="E25" s="152">
        <f>SUMIFS('附表7-扣除项目明细采集底稿'!W:W,'附表7-扣除项目明细采集底稿'!E:E,数据对照表!D7,'附表7-扣除项目明细采集底稿'!V:V,"直接归集成本费用")</f>
        <v>0</v>
      </c>
      <c r="F25" s="152">
        <f>SUMIFS('附表7-扣除项目明细采集底稿'!X:X,'附表7-扣除项目明细采集底稿'!E:E,数据对照表!D7,'附表7-扣除项目明细采集底稿'!V:V,"直接归集成本费用")</f>
        <v>0</v>
      </c>
      <c r="G25" s="152">
        <f>SUMIFS('附表7-扣除项目明细采集底稿'!Y:Y,'附表7-扣除项目明细采集底稿'!E:E,数据对照表!D7,'附表7-扣除项目明细采集底稿'!V:V,"直接归集成本费用")</f>
        <v>0</v>
      </c>
      <c r="H25" s="153">
        <f t="shared" si="3"/>
        <v>0</v>
      </c>
      <c r="I25" s="152">
        <f>SUMIFS('附表7-扣除项目明细采集底稿'!W:W,'附表7-扣除项目明细采集底稿'!E:E,数据对照表!D7,'附表7-扣除项目明细采集底稿'!V:V,"共同成本费用")</f>
        <v>0</v>
      </c>
      <c r="J25" s="152">
        <f>SUMIFS('附表7-扣除项目明细采集底稿'!X:X,'附表7-扣除项目明细采集底稿'!E:E,数据对照表!D7,'附表7-扣除项目明细采集底稿'!V:V,"共同成本费用")</f>
        <v>0</v>
      </c>
      <c r="K25" s="152">
        <f>SUMIFS('附表7-扣除项目明细采集底稿'!Y:Y,'附表7-扣除项目明细采集底稿'!E:E,数据对照表!D7,'附表7-扣除项目明细采集底稿'!V:V,"共同成本费用")</f>
        <v>0</v>
      </c>
      <c r="L25" s="153">
        <f t="shared" si="4"/>
        <v>0</v>
      </c>
      <c r="M25" s="153">
        <f t="shared" si="5"/>
        <v>0</v>
      </c>
    </row>
    <row r="26" s="134" customFormat="1" ht="24" customHeight="1" spans="1:13">
      <c r="A26" s="150">
        <v>21</v>
      </c>
      <c r="B26" s="150"/>
      <c r="C26" s="150"/>
      <c r="D26" s="154" t="str">
        <f>数据对照表!D8</f>
        <v>测绘费用</v>
      </c>
      <c r="E26" s="152">
        <f>SUMIFS('附表7-扣除项目明细采集底稿'!W:W,'附表7-扣除项目明细采集底稿'!E:E,数据对照表!D8,'附表7-扣除项目明细采集底稿'!V:V,"直接归集成本费用")</f>
        <v>0</v>
      </c>
      <c r="F26" s="152">
        <f>SUMIFS('附表7-扣除项目明细采集底稿'!X:X,'附表7-扣除项目明细采集底稿'!E:E,数据对照表!D8,'附表7-扣除项目明细采集底稿'!V:V,"直接归集成本费用")</f>
        <v>0</v>
      </c>
      <c r="G26" s="152">
        <f>SUMIFS('附表7-扣除项目明细采集底稿'!Y:Y,'附表7-扣除项目明细采集底稿'!E:E,数据对照表!D8,'附表7-扣除项目明细采集底稿'!V:V,"直接归集成本费用")</f>
        <v>0</v>
      </c>
      <c r="H26" s="153">
        <f t="shared" si="3"/>
        <v>0</v>
      </c>
      <c r="I26" s="152">
        <f>SUMIFS('附表7-扣除项目明细采集底稿'!W:W,'附表7-扣除项目明细采集底稿'!E:E,数据对照表!D8,'附表7-扣除项目明细采集底稿'!V:V,"共同成本费用")</f>
        <v>0</v>
      </c>
      <c r="J26" s="152">
        <f>SUMIFS('附表7-扣除项目明细采集底稿'!X:X,'附表7-扣除项目明细采集底稿'!E:E,数据对照表!D8,'附表7-扣除项目明细采集底稿'!V:V,"共同成本费用")</f>
        <v>0</v>
      </c>
      <c r="K26" s="152">
        <f>SUMIFS('附表7-扣除项目明细采集底稿'!Y:Y,'附表7-扣除项目明细采集底稿'!E:E,数据对照表!D8,'附表7-扣除项目明细采集底稿'!V:V,"共同成本费用")</f>
        <v>0</v>
      </c>
      <c r="L26" s="153">
        <f t="shared" si="4"/>
        <v>0</v>
      </c>
      <c r="M26" s="153">
        <f t="shared" si="5"/>
        <v>0</v>
      </c>
    </row>
    <row r="27" s="134" customFormat="1" ht="24" customHeight="1" spans="1:13">
      <c r="A27" s="150">
        <v>22</v>
      </c>
      <c r="B27" s="150"/>
      <c r="C27" s="150"/>
      <c r="D27" s="154" t="str">
        <f>数据对照表!D9</f>
        <v>七通一平支出</v>
      </c>
      <c r="E27" s="152">
        <f>SUMIFS('附表7-扣除项目明细采集底稿'!W:W,'附表7-扣除项目明细采集底稿'!E:E,数据对照表!D9,'附表7-扣除项目明细采集底稿'!V:V,"直接归集成本费用")</f>
        <v>0</v>
      </c>
      <c r="F27" s="152">
        <f>SUMIFS('附表7-扣除项目明细采集底稿'!X:X,'附表7-扣除项目明细采集底稿'!E:E,数据对照表!D9,'附表7-扣除项目明细采集底稿'!V:V,"直接归集成本费用")</f>
        <v>0</v>
      </c>
      <c r="G27" s="152">
        <f>SUMIFS('附表7-扣除项目明细采集底稿'!Y:Y,'附表7-扣除项目明细采集底稿'!E:E,数据对照表!D9,'附表7-扣除项目明细采集底稿'!V:V,"直接归集成本费用")</f>
        <v>0</v>
      </c>
      <c r="H27" s="153">
        <f t="shared" si="3"/>
        <v>0</v>
      </c>
      <c r="I27" s="152">
        <f>SUMIFS('附表7-扣除项目明细采集底稿'!W:W,'附表7-扣除项目明细采集底稿'!E:E,数据对照表!D9,'附表7-扣除项目明细采集底稿'!V:V,"共同成本费用")</f>
        <v>0</v>
      </c>
      <c r="J27" s="152">
        <f>SUMIFS('附表7-扣除项目明细采集底稿'!X:X,'附表7-扣除项目明细采集底稿'!E:E,数据对照表!D9,'附表7-扣除项目明细采集底稿'!V:V,"共同成本费用")</f>
        <v>0</v>
      </c>
      <c r="K27" s="152">
        <f>SUMIFS('附表7-扣除项目明细采集底稿'!Y:Y,'附表7-扣除项目明细采集底稿'!E:E,数据对照表!D9,'附表7-扣除项目明细采集底稿'!V:V,"共同成本费用")</f>
        <v>0</v>
      </c>
      <c r="L27" s="153">
        <f t="shared" si="4"/>
        <v>0</v>
      </c>
      <c r="M27" s="153">
        <f t="shared" si="5"/>
        <v>0</v>
      </c>
    </row>
    <row r="28" s="134" customFormat="1" ht="24" customHeight="1" spans="1:13">
      <c r="A28" s="150">
        <v>23</v>
      </c>
      <c r="B28" s="150"/>
      <c r="C28" s="150"/>
      <c r="D28" s="154" t="str">
        <f>数据对照表!D10</f>
        <v>其他前期工程费</v>
      </c>
      <c r="E28" s="152">
        <f>SUMIFS('附表7-扣除项目明细采集底稿'!W:W,'附表7-扣除项目明细采集底稿'!E:E,数据对照表!D10,'附表7-扣除项目明细采集底稿'!V:V,"直接归集成本费用")</f>
        <v>0</v>
      </c>
      <c r="F28" s="152">
        <f>SUMIFS('附表7-扣除项目明细采集底稿'!X:X,'附表7-扣除项目明细采集底稿'!E:E,数据对照表!D10,'附表7-扣除项目明细采集底稿'!V:V,"直接归集成本费用")</f>
        <v>0</v>
      </c>
      <c r="G28" s="152">
        <f>SUMIFS('附表7-扣除项目明细采集底稿'!Y:Y,'附表7-扣除项目明细采集底稿'!E:E,数据对照表!D10,'附表7-扣除项目明细采集底稿'!V:V,"直接归集成本费用")</f>
        <v>0</v>
      </c>
      <c r="H28" s="153">
        <f t="shared" si="3"/>
        <v>0</v>
      </c>
      <c r="I28" s="152">
        <f>SUMIFS('附表7-扣除项目明细采集底稿'!W:W,'附表7-扣除项目明细采集底稿'!E:E,数据对照表!D10,'附表7-扣除项目明细采集底稿'!V:V,"共同成本费用")</f>
        <v>0</v>
      </c>
      <c r="J28" s="152">
        <f>SUMIFS('附表7-扣除项目明细采集底稿'!X:X,'附表7-扣除项目明细采集底稿'!E:E,数据对照表!D10,'附表7-扣除项目明细采集底稿'!V:V,"共同成本费用")</f>
        <v>0</v>
      </c>
      <c r="K28" s="152">
        <f>SUMIFS('附表7-扣除项目明细采集底稿'!Y:Y,'附表7-扣除项目明细采集底稿'!E:E,数据对照表!D10,'附表7-扣除项目明细采集底稿'!V:V,"共同成本费用")</f>
        <v>0</v>
      </c>
      <c r="L28" s="153">
        <f t="shared" si="4"/>
        <v>0</v>
      </c>
      <c r="M28" s="153">
        <f t="shared" si="5"/>
        <v>0</v>
      </c>
    </row>
    <row r="29" s="134" customFormat="1" ht="24" customHeight="1" spans="1:13">
      <c r="A29" s="150">
        <v>24</v>
      </c>
      <c r="B29" s="150"/>
      <c r="C29" s="151" t="str">
        <f>数据对照表!E1</f>
        <v>建筑安装工程费</v>
      </c>
      <c r="D29" s="151"/>
      <c r="E29" s="152">
        <f>SUMIFS('附表7-扣除项目明细采集底稿'!W:W,'附表7-扣除项目明细采集底稿'!D:D,数据对照表!E1,'附表7-扣除项目明细采集底稿'!V:V,"直接归集成本费用")</f>
        <v>0</v>
      </c>
      <c r="F29" s="152">
        <f>SUMIFS('附表7-扣除项目明细采集底稿'!X:X,'附表7-扣除项目明细采集底稿'!D:D,数据对照表!E1,'附表7-扣除项目明细采集底稿'!V:V,"直接归集成本费用")</f>
        <v>0</v>
      </c>
      <c r="G29" s="152">
        <f>SUMIFS('附表7-扣除项目明细采集底稿'!Y:Y,'附表7-扣除项目明细采集底稿'!D:D,数据对照表!E1,'附表7-扣除项目明细采集底稿'!V:V,"直接归集成本费用")</f>
        <v>0</v>
      </c>
      <c r="H29" s="153">
        <f t="shared" si="3"/>
        <v>0</v>
      </c>
      <c r="I29" s="152">
        <f>SUMIFS('附表7-扣除项目明细采集底稿'!W:W,'附表7-扣除项目明细采集底稿'!D:D,数据对照表!E1,'附表7-扣除项目明细采集底稿'!V:V,"共同成本费用")</f>
        <v>0</v>
      </c>
      <c r="J29" s="152">
        <f>SUMIFS('附表7-扣除项目明细采集底稿'!X:X,'附表7-扣除项目明细采集底稿'!D:D,数据对照表!E1,'附表7-扣除项目明细采集底稿'!V:V,"共同成本费用")</f>
        <v>0</v>
      </c>
      <c r="K29" s="152">
        <f>SUMIFS('附表7-扣除项目明细采集底稿'!Y:Y,'附表7-扣除项目明细采集底稿'!D:D,数据对照表!E1,'附表7-扣除项目明细采集底稿'!V:V,"共同成本费用")</f>
        <v>0</v>
      </c>
      <c r="L29" s="153">
        <f t="shared" si="4"/>
        <v>0</v>
      </c>
      <c r="M29" s="153">
        <f t="shared" si="5"/>
        <v>0</v>
      </c>
    </row>
    <row r="30" s="134" customFormat="1" ht="24" customHeight="1" spans="1:13">
      <c r="A30" s="150">
        <v>25</v>
      </c>
      <c r="B30" s="150"/>
      <c r="C30" s="150" t="s">
        <v>278</v>
      </c>
      <c r="D30" s="154" t="str">
        <f>数据对照表!E2</f>
        <v>桩基础工程费用</v>
      </c>
      <c r="E30" s="152">
        <f>SUMIFS('附表7-扣除项目明细采集底稿'!W:W,'附表7-扣除项目明细采集底稿'!E:E,数据对照表!E2,'附表7-扣除项目明细采集底稿'!V:V,"直接归集成本费用")</f>
        <v>0</v>
      </c>
      <c r="F30" s="152">
        <f>SUMIFS('附表7-扣除项目明细采集底稿'!X:X,'附表7-扣除项目明细采集底稿'!E:E,数据对照表!E2,'附表7-扣除项目明细采集底稿'!V:V,"直接归集成本费用")</f>
        <v>0</v>
      </c>
      <c r="G30" s="152">
        <f>SUMIFS('附表7-扣除项目明细采集底稿'!Y:Y,'附表7-扣除项目明细采集底稿'!E:E,数据对照表!E2,'附表7-扣除项目明细采集底稿'!V:V,"直接归集成本费用")</f>
        <v>0</v>
      </c>
      <c r="H30" s="153">
        <f t="shared" si="3"/>
        <v>0</v>
      </c>
      <c r="I30" s="152">
        <f>SUMIFS('附表7-扣除项目明细采集底稿'!W:W,'附表7-扣除项目明细采集底稿'!E:E,数据对照表!E2,'附表7-扣除项目明细采集底稿'!V:V,"共同成本费用")</f>
        <v>0</v>
      </c>
      <c r="J30" s="152">
        <f>SUMIFS('附表7-扣除项目明细采集底稿'!X:X,'附表7-扣除项目明细采集底稿'!E:E,数据对照表!E2,'附表7-扣除项目明细采集底稿'!V:V,"共同成本费用")</f>
        <v>0</v>
      </c>
      <c r="K30" s="152">
        <f>SUMIFS('附表7-扣除项目明细采集底稿'!Y:Y,'附表7-扣除项目明细采集底稿'!E:E,数据对照表!E2,'附表7-扣除项目明细采集底稿'!V:V,"共同成本费用")</f>
        <v>0</v>
      </c>
      <c r="L30" s="153">
        <f t="shared" si="4"/>
        <v>0</v>
      </c>
      <c r="M30" s="153">
        <f t="shared" si="5"/>
        <v>0</v>
      </c>
    </row>
    <row r="31" s="134" customFormat="1" ht="24" customHeight="1" spans="1:13">
      <c r="A31" s="150">
        <v>26</v>
      </c>
      <c r="B31" s="150"/>
      <c r="C31" s="150"/>
      <c r="D31" s="154" t="str">
        <f>数据对照表!E3</f>
        <v>地下室工程费用</v>
      </c>
      <c r="E31" s="152">
        <f>SUMIFS('附表7-扣除项目明细采集底稿'!W:W,'附表7-扣除项目明细采集底稿'!E:E,数据对照表!E3,'附表7-扣除项目明细采集底稿'!V:V,"直接归集成本费用")</f>
        <v>0</v>
      </c>
      <c r="F31" s="152">
        <f>SUMIFS('附表7-扣除项目明细采集底稿'!X:X,'附表7-扣除项目明细采集底稿'!E:E,数据对照表!E3,'附表7-扣除项目明细采集底稿'!V:V,"直接归集成本费用")</f>
        <v>0</v>
      </c>
      <c r="G31" s="152">
        <f>SUMIFS('附表7-扣除项目明细采集底稿'!Y:Y,'附表7-扣除项目明细采集底稿'!E:E,数据对照表!E3,'附表7-扣除项目明细采集底稿'!V:V,"直接归集成本费用")</f>
        <v>0</v>
      </c>
      <c r="H31" s="153">
        <f t="shared" si="3"/>
        <v>0</v>
      </c>
      <c r="I31" s="152">
        <f>SUMIFS('附表7-扣除项目明细采集底稿'!W:W,'附表7-扣除项目明细采集底稿'!E:E,数据对照表!E3,'附表7-扣除项目明细采集底稿'!V:V,"共同成本费用")</f>
        <v>0</v>
      </c>
      <c r="J31" s="152">
        <f>SUMIFS('附表7-扣除项目明细采集底稿'!X:X,'附表7-扣除项目明细采集底稿'!E:E,数据对照表!E3,'附表7-扣除项目明细采集底稿'!V:V,"共同成本费用")</f>
        <v>0</v>
      </c>
      <c r="K31" s="152">
        <f>SUMIFS('附表7-扣除项目明细采集底稿'!Y:Y,'附表7-扣除项目明细采集底稿'!E:E,数据对照表!E3,'附表7-扣除项目明细采集底稿'!V:V,"共同成本费用")</f>
        <v>0</v>
      </c>
      <c r="L31" s="153">
        <f t="shared" si="4"/>
        <v>0</v>
      </c>
      <c r="M31" s="153">
        <f t="shared" si="5"/>
        <v>0</v>
      </c>
    </row>
    <row r="32" s="134" customFormat="1" ht="24" customHeight="1" spans="1:13">
      <c r="A32" s="150">
        <v>27</v>
      </c>
      <c r="B32" s="150"/>
      <c r="C32" s="150"/>
      <c r="D32" s="154" t="str">
        <f>数据对照表!E4</f>
        <v>地上建筑工程费用</v>
      </c>
      <c r="E32" s="152">
        <f>SUMIFS('附表7-扣除项目明细采集底稿'!W:W,'附表7-扣除项目明细采集底稿'!E:E,数据对照表!E4,'附表7-扣除项目明细采集底稿'!V:V,"直接归集成本费用")</f>
        <v>0</v>
      </c>
      <c r="F32" s="152">
        <f>SUMIFS('附表7-扣除项目明细采集底稿'!X:X,'附表7-扣除项目明细采集底稿'!E:E,数据对照表!E4,'附表7-扣除项目明细采集底稿'!V:V,"直接归集成本费用")</f>
        <v>0</v>
      </c>
      <c r="G32" s="152">
        <f>SUMIFS('附表7-扣除项目明细采集底稿'!Y:Y,'附表7-扣除项目明细采集底稿'!E:E,数据对照表!E4,'附表7-扣除项目明细采集底稿'!V:V,"直接归集成本费用")</f>
        <v>0</v>
      </c>
      <c r="H32" s="153">
        <f t="shared" si="3"/>
        <v>0</v>
      </c>
      <c r="I32" s="152">
        <f>SUMIFS('附表7-扣除项目明细采集底稿'!W:W,'附表7-扣除项目明细采集底稿'!E:E,数据对照表!E4,'附表7-扣除项目明细采集底稿'!V:V,"共同成本费用")</f>
        <v>0</v>
      </c>
      <c r="J32" s="152">
        <f>SUMIFS('附表7-扣除项目明细采集底稿'!X:X,'附表7-扣除项目明细采集底稿'!E:E,数据对照表!E4,'附表7-扣除项目明细采集底稿'!V:V,"共同成本费用")</f>
        <v>0</v>
      </c>
      <c r="K32" s="152">
        <f>SUMIFS('附表7-扣除项目明细采集底稿'!Y:Y,'附表7-扣除项目明细采集底稿'!E:E,数据对照表!E4,'附表7-扣除项目明细采集底稿'!V:V,"共同成本费用")</f>
        <v>0</v>
      </c>
      <c r="L32" s="153">
        <f t="shared" si="4"/>
        <v>0</v>
      </c>
      <c r="M32" s="153">
        <f t="shared" si="5"/>
        <v>0</v>
      </c>
    </row>
    <row r="33" s="134" customFormat="1" ht="24" customHeight="1" spans="1:13">
      <c r="A33" s="150">
        <v>28</v>
      </c>
      <c r="B33" s="150"/>
      <c r="C33" s="150"/>
      <c r="D33" s="154" t="str">
        <f>数据对照表!E5</f>
        <v>户内装修费用</v>
      </c>
      <c r="E33" s="152">
        <f>SUMIFS('附表7-扣除项目明细采集底稿'!W:W,'附表7-扣除项目明细采集底稿'!E:E,数据对照表!E5,'附表7-扣除项目明细采集底稿'!V:V,"直接归集成本费用")</f>
        <v>0</v>
      </c>
      <c r="F33" s="152">
        <f>SUMIFS('附表7-扣除项目明细采集底稿'!X:X,'附表7-扣除项目明细采集底稿'!E:E,数据对照表!E5,'附表7-扣除项目明细采集底稿'!V:V,"直接归集成本费用")</f>
        <v>0</v>
      </c>
      <c r="G33" s="152">
        <f>SUMIFS('附表7-扣除项目明细采集底稿'!Y:Y,'附表7-扣除项目明细采集底稿'!E:E,数据对照表!E5,'附表7-扣除项目明细采集底稿'!V:V,"直接归集成本费用")</f>
        <v>0</v>
      </c>
      <c r="H33" s="153">
        <f t="shared" si="3"/>
        <v>0</v>
      </c>
      <c r="I33" s="152">
        <f>SUMIFS('附表7-扣除项目明细采集底稿'!W:W,'附表7-扣除项目明细采集底稿'!E:E,数据对照表!E5,'附表7-扣除项目明细采集底稿'!V:V,"共同成本费用")</f>
        <v>0</v>
      </c>
      <c r="J33" s="152">
        <f>SUMIFS('附表7-扣除项目明细采集底稿'!X:X,'附表7-扣除项目明细采集底稿'!E:E,数据对照表!E5,'附表7-扣除项目明细采集底稿'!V:V,"共同成本费用")</f>
        <v>0</v>
      </c>
      <c r="K33" s="152">
        <f>SUMIFS('附表7-扣除项目明细采集底稿'!Y:Y,'附表7-扣除项目明细采集底稿'!E:E,数据对照表!E5,'附表7-扣除项目明细采集底稿'!V:V,"共同成本费用")</f>
        <v>0</v>
      </c>
      <c r="L33" s="153">
        <f t="shared" si="4"/>
        <v>0</v>
      </c>
      <c r="M33" s="153">
        <f t="shared" si="5"/>
        <v>0</v>
      </c>
    </row>
    <row r="34" s="134" customFormat="1" ht="24" customHeight="1" spans="1:13">
      <c r="A34" s="150">
        <v>29</v>
      </c>
      <c r="B34" s="150"/>
      <c r="C34" s="150"/>
      <c r="D34" s="154" t="str">
        <f>数据对照表!E6</f>
        <v>高档外立面工程费用</v>
      </c>
      <c r="E34" s="152">
        <f>SUMIFS('附表7-扣除项目明细采集底稿'!W:W,'附表7-扣除项目明细采集底稿'!E:E,数据对照表!E6,'附表7-扣除项目明细采集底稿'!V:V,"直接归集成本费用")</f>
        <v>0</v>
      </c>
      <c r="F34" s="152">
        <f>SUMIFS('附表7-扣除项目明细采集底稿'!X:X,'附表7-扣除项目明细采集底稿'!E:E,数据对照表!E6,'附表7-扣除项目明细采集底稿'!V:V,"直接归集成本费用")</f>
        <v>0</v>
      </c>
      <c r="G34" s="152">
        <f>SUMIFS('附表7-扣除项目明细采集底稿'!Y:Y,'附表7-扣除项目明细采集底稿'!E:E,数据对照表!E6,'附表7-扣除项目明细采集底稿'!V:V,"直接归集成本费用")</f>
        <v>0</v>
      </c>
      <c r="H34" s="153">
        <f t="shared" si="3"/>
        <v>0</v>
      </c>
      <c r="I34" s="152">
        <f>SUMIFS('附表7-扣除项目明细采集底稿'!W:W,'附表7-扣除项目明细采集底稿'!E:E,数据对照表!E6,'附表7-扣除项目明细采集底稿'!V:V,"共同成本费用")</f>
        <v>0</v>
      </c>
      <c r="J34" s="152">
        <f>SUMIFS('附表7-扣除项目明细采集底稿'!X:X,'附表7-扣除项目明细采集底稿'!E:E,数据对照表!E6,'附表7-扣除项目明细采集底稿'!V:V,"共同成本费用")</f>
        <v>0</v>
      </c>
      <c r="K34" s="152">
        <f>SUMIFS('附表7-扣除项目明细采集底稿'!Y:Y,'附表7-扣除项目明细采集底稿'!E:E,数据对照表!E6,'附表7-扣除项目明细采集底稿'!V:V,"共同成本费用")</f>
        <v>0</v>
      </c>
      <c r="L34" s="153">
        <f t="shared" si="4"/>
        <v>0</v>
      </c>
      <c r="M34" s="153">
        <f t="shared" si="5"/>
        <v>0</v>
      </c>
    </row>
    <row r="35" s="134" customFormat="1" ht="24" customHeight="1" spans="1:13">
      <c r="A35" s="150">
        <v>30</v>
      </c>
      <c r="B35" s="150"/>
      <c r="C35" s="150"/>
      <c r="D35" s="154" t="str">
        <f>数据对照表!E7</f>
        <v>其他建筑安装工程费</v>
      </c>
      <c r="E35" s="152">
        <f>SUMIFS('附表7-扣除项目明细采集底稿'!W:W,'附表7-扣除项目明细采集底稿'!E:E,数据对照表!E7,'附表7-扣除项目明细采集底稿'!V:V,"直接归集成本费用")</f>
        <v>0</v>
      </c>
      <c r="F35" s="152">
        <f>SUMIFS('附表7-扣除项目明细采集底稿'!X:X,'附表7-扣除项目明细采集底稿'!E:E,数据对照表!E7,'附表7-扣除项目明细采集底稿'!V:V,"直接归集成本费用")</f>
        <v>0</v>
      </c>
      <c r="G35" s="152">
        <f>SUMIFS('附表7-扣除项目明细采集底稿'!Y:Y,'附表7-扣除项目明细采集底稿'!E:E,数据对照表!E7,'附表7-扣除项目明细采集底稿'!V:V,"直接归集成本费用")</f>
        <v>0</v>
      </c>
      <c r="H35" s="153">
        <f t="shared" si="3"/>
        <v>0</v>
      </c>
      <c r="I35" s="152">
        <f>SUMIFS('附表7-扣除项目明细采集底稿'!W:W,'附表7-扣除项目明细采集底稿'!E:E,数据对照表!E7,'附表7-扣除项目明细采集底稿'!V:V,"共同成本费用")</f>
        <v>0</v>
      </c>
      <c r="J35" s="152">
        <f>SUMIFS('附表7-扣除项目明细采集底稿'!X:X,'附表7-扣除项目明细采集底稿'!E:E,数据对照表!E7,'附表7-扣除项目明细采集底稿'!V:V,"共同成本费用")</f>
        <v>0</v>
      </c>
      <c r="K35" s="152">
        <f>SUMIFS('附表7-扣除项目明细采集底稿'!Y:Y,'附表7-扣除项目明细采集底稿'!E:E,数据对照表!E7,'附表7-扣除项目明细采集底稿'!V:V,"共同成本费用")</f>
        <v>0</v>
      </c>
      <c r="L35" s="153">
        <f t="shared" si="4"/>
        <v>0</v>
      </c>
      <c r="M35" s="153">
        <f t="shared" si="5"/>
        <v>0</v>
      </c>
    </row>
    <row r="36" s="134" customFormat="1" ht="24" customHeight="1" spans="1:13">
      <c r="A36" s="150">
        <v>31</v>
      </c>
      <c r="B36" s="150"/>
      <c r="C36" s="154" t="str">
        <f>数据对照表!F1</f>
        <v>基础设施费</v>
      </c>
      <c r="D36" s="154"/>
      <c r="E36" s="152">
        <f>SUMIFS('附表7-扣除项目明细采集底稿'!W:W,'附表7-扣除项目明细采集底稿'!D:D,数据对照表!F1,'附表7-扣除项目明细采集底稿'!V:V,"直接归集成本费用")</f>
        <v>0</v>
      </c>
      <c r="F36" s="152">
        <f>SUMIFS('附表7-扣除项目明细采集底稿'!X:X,'附表7-扣除项目明细采集底稿'!D:D,数据对照表!F1,'附表7-扣除项目明细采集底稿'!V:V,"直接归集成本费用")</f>
        <v>0</v>
      </c>
      <c r="G36" s="152">
        <f>SUMIFS('附表7-扣除项目明细采集底稿'!Y:Y,'附表7-扣除项目明细采集底稿'!D:D,数据对照表!F1,'附表7-扣除项目明细采集底稿'!V:V,"直接归集成本费用")</f>
        <v>0</v>
      </c>
      <c r="H36" s="153">
        <f t="shared" si="3"/>
        <v>0</v>
      </c>
      <c r="I36" s="152">
        <f>SUMIFS('附表7-扣除项目明细采集底稿'!W:W,'附表7-扣除项目明细采集底稿'!D:D,数据对照表!F1,'附表7-扣除项目明细采集底稿'!V:V,"共同成本费用")</f>
        <v>0</v>
      </c>
      <c r="J36" s="152">
        <f>SUMIFS('附表7-扣除项目明细采集底稿'!X:X,'附表7-扣除项目明细采集底稿'!D:D,数据对照表!F1,'附表7-扣除项目明细采集底稿'!V:V,"共同成本费用")</f>
        <v>0</v>
      </c>
      <c r="K36" s="152">
        <f>SUMIFS('附表7-扣除项目明细采集底稿'!Y:Y,'附表7-扣除项目明细采集底稿'!D:D,数据对照表!F1,'附表7-扣除项目明细采集底稿'!V:V,"共同成本费用")</f>
        <v>0</v>
      </c>
      <c r="L36" s="153">
        <f t="shared" si="4"/>
        <v>0</v>
      </c>
      <c r="M36" s="153">
        <f t="shared" si="5"/>
        <v>0</v>
      </c>
    </row>
    <row r="37" s="134" customFormat="1" ht="27.95" customHeight="1" spans="1:13">
      <c r="A37" s="150">
        <v>32</v>
      </c>
      <c r="B37" s="150"/>
      <c r="C37" s="150" t="s">
        <v>278</v>
      </c>
      <c r="D37" s="154" t="str">
        <f>数据对照表!F2</f>
        <v>开发小区内道路工程支出</v>
      </c>
      <c r="E37" s="152">
        <f>SUMIFS('附表7-扣除项目明细采集底稿'!W:W,'附表7-扣除项目明细采集底稿'!E:E,数据对照表!F2,'附表7-扣除项目明细采集底稿'!V:V,"直接归集成本费用")</f>
        <v>0</v>
      </c>
      <c r="F37" s="152">
        <f>SUMIFS('附表7-扣除项目明细采集底稿'!X:X,'附表7-扣除项目明细采集底稿'!E:E,数据对照表!F2,'附表7-扣除项目明细采集底稿'!V:V,"直接归集成本费用")</f>
        <v>0</v>
      </c>
      <c r="G37" s="152">
        <f>SUMIFS('附表7-扣除项目明细采集底稿'!Y:Y,'附表7-扣除项目明细采集底稿'!E:E,数据对照表!F2,'附表7-扣除项目明细采集底稿'!V:V,"直接归集成本费用")</f>
        <v>0</v>
      </c>
      <c r="H37" s="153">
        <f t="shared" si="3"/>
        <v>0</v>
      </c>
      <c r="I37" s="152">
        <f>SUMIFS('附表7-扣除项目明细采集底稿'!W:W,'附表7-扣除项目明细采集底稿'!E:E,数据对照表!F2,'附表7-扣除项目明细采集底稿'!V:V,"共同成本费用")</f>
        <v>0</v>
      </c>
      <c r="J37" s="152">
        <f>SUMIFS('附表7-扣除项目明细采集底稿'!X:X,'附表7-扣除项目明细采集底稿'!E:E,数据对照表!F2,'附表7-扣除项目明细采集底稿'!V:V,"共同成本费用")</f>
        <v>0</v>
      </c>
      <c r="K37" s="152">
        <f>SUMIFS('附表7-扣除项目明细采集底稿'!Y:Y,'附表7-扣除项目明细采集底稿'!E:E,数据对照表!F2,'附表7-扣除项目明细采集底稿'!V:V,"共同成本费用")</f>
        <v>0</v>
      </c>
      <c r="L37" s="153">
        <f t="shared" si="4"/>
        <v>0</v>
      </c>
      <c r="M37" s="153">
        <f t="shared" si="5"/>
        <v>0</v>
      </c>
    </row>
    <row r="38" s="134" customFormat="1" ht="24" customHeight="1" spans="1:13">
      <c r="A38" s="150">
        <v>33</v>
      </c>
      <c r="B38" s="150"/>
      <c r="C38" s="150"/>
      <c r="D38" s="154" t="str">
        <f>数据对照表!F3</f>
        <v>供水工程支出</v>
      </c>
      <c r="E38" s="152">
        <f>SUMIFS('附表7-扣除项目明细采集底稿'!W:W,'附表7-扣除项目明细采集底稿'!E:E,数据对照表!F3,'附表7-扣除项目明细采集底稿'!V:V,"直接归集成本费用")</f>
        <v>0</v>
      </c>
      <c r="F38" s="152">
        <f>SUMIFS('附表7-扣除项目明细采集底稿'!X:X,'附表7-扣除项目明细采集底稿'!E:E,数据对照表!F3,'附表7-扣除项目明细采集底稿'!V:V,"直接归集成本费用")</f>
        <v>0</v>
      </c>
      <c r="G38" s="152">
        <f>SUMIFS('附表7-扣除项目明细采集底稿'!Y:Y,'附表7-扣除项目明细采集底稿'!E:E,数据对照表!F3,'附表7-扣除项目明细采集底稿'!V:V,"直接归集成本费用")</f>
        <v>0</v>
      </c>
      <c r="H38" s="153">
        <f t="shared" ref="H38:H49" si="6">SUM(E38:G38)</f>
        <v>0</v>
      </c>
      <c r="I38" s="152">
        <f>SUMIFS('附表7-扣除项目明细采集底稿'!W:W,'附表7-扣除项目明细采集底稿'!E:E,数据对照表!F3,'附表7-扣除项目明细采集底稿'!V:V,"共同成本费用")</f>
        <v>0</v>
      </c>
      <c r="J38" s="152">
        <f>SUMIFS('附表7-扣除项目明细采集底稿'!X:X,'附表7-扣除项目明细采集底稿'!E:E,数据对照表!F3,'附表7-扣除项目明细采集底稿'!V:V,"共同成本费用")</f>
        <v>0</v>
      </c>
      <c r="K38" s="152">
        <f>SUMIFS('附表7-扣除项目明细采集底稿'!Y:Y,'附表7-扣除项目明细采集底稿'!E:E,数据对照表!F3,'附表7-扣除项目明细采集底稿'!V:V,"共同成本费用")</f>
        <v>0</v>
      </c>
      <c r="L38" s="153">
        <f t="shared" ref="L38:L49" si="7">SUM(I38:K38)</f>
        <v>0</v>
      </c>
      <c r="M38" s="153">
        <f t="shared" ref="M38:M49" si="8">H38+L38</f>
        <v>0</v>
      </c>
    </row>
    <row r="39" s="134" customFormat="1" ht="24" customHeight="1" spans="1:13">
      <c r="A39" s="150">
        <v>34</v>
      </c>
      <c r="B39" s="150"/>
      <c r="C39" s="150"/>
      <c r="D39" s="154" t="str">
        <f>数据对照表!F4</f>
        <v>供电工程支出</v>
      </c>
      <c r="E39" s="152">
        <f>SUMIFS('附表7-扣除项目明细采集底稿'!W:W,'附表7-扣除项目明细采集底稿'!E:E,数据对照表!F4,'附表7-扣除项目明细采集底稿'!V:V,"直接归集成本费用")</f>
        <v>0</v>
      </c>
      <c r="F39" s="152">
        <f>SUMIFS('附表7-扣除项目明细采集底稿'!X:X,'附表7-扣除项目明细采集底稿'!E:E,数据对照表!F4,'附表7-扣除项目明细采集底稿'!V:V,"直接归集成本费用")</f>
        <v>0</v>
      </c>
      <c r="G39" s="152">
        <f>SUMIFS('附表7-扣除项目明细采集底稿'!Y:Y,'附表7-扣除项目明细采集底稿'!E:E,数据对照表!F4,'附表7-扣除项目明细采集底稿'!V:V,"直接归集成本费用")</f>
        <v>0</v>
      </c>
      <c r="H39" s="153">
        <f t="shared" si="6"/>
        <v>0</v>
      </c>
      <c r="I39" s="152">
        <f>SUMIFS('附表7-扣除项目明细采集底稿'!W:W,'附表7-扣除项目明细采集底稿'!E:E,数据对照表!F4,'附表7-扣除项目明细采集底稿'!V:V,"共同成本费用")</f>
        <v>0</v>
      </c>
      <c r="J39" s="152">
        <f>SUMIFS('附表7-扣除项目明细采集底稿'!X:X,'附表7-扣除项目明细采集底稿'!E:E,数据对照表!F4,'附表7-扣除项目明细采集底稿'!V:V,"共同成本费用")</f>
        <v>0</v>
      </c>
      <c r="K39" s="152">
        <f>SUMIFS('附表7-扣除项目明细采集底稿'!Y:Y,'附表7-扣除项目明细采集底稿'!E:E,数据对照表!F4,'附表7-扣除项目明细采集底稿'!V:V,"共同成本费用")</f>
        <v>0</v>
      </c>
      <c r="L39" s="153">
        <f t="shared" si="7"/>
        <v>0</v>
      </c>
      <c r="M39" s="153">
        <f t="shared" si="8"/>
        <v>0</v>
      </c>
    </row>
    <row r="40" s="134" customFormat="1" ht="24" customHeight="1" spans="1:13">
      <c r="A40" s="150">
        <v>35</v>
      </c>
      <c r="B40" s="150"/>
      <c r="C40" s="150"/>
      <c r="D40" s="154" t="str">
        <f>数据对照表!F5</f>
        <v>供气工程支出</v>
      </c>
      <c r="E40" s="152">
        <f>SUMIFS('附表7-扣除项目明细采集底稿'!W:W,'附表7-扣除项目明细采集底稿'!E:E,数据对照表!F5,'附表7-扣除项目明细采集底稿'!V:V,"直接归集成本费用")</f>
        <v>0</v>
      </c>
      <c r="F40" s="152">
        <f>SUMIFS('附表7-扣除项目明细采集底稿'!X:X,'附表7-扣除项目明细采集底稿'!E:E,数据对照表!F5,'附表7-扣除项目明细采集底稿'!V:V,"直接归集成本费用")</f>
        <v>0</v>
      </c>
      <c r="G40" s="152">
        <f>SUMIFS('附表7-扣除项目明细采集底稿'!Y:Y,'附表7-扣除项目明细采集底稿'!E:E,数据对照表!F5,'附表7-扣除项目明细采集底稿'!V:V,"直接归集成本费用")</f>
        <v>0</v>
      </c>
      <c r="H40" s="153">
        <f t="shared" si="6"/>
        <v>0</v>
      </c>
      <c r="I40" s="152">
        <f>SUMIFS('附表7-扣除项目明细采集底稿'!W:W,'附表7-扣除项目明细采集底稿'!E:E,数据对照表!F5,'附表7-扣除项目明细采集底稿'!V:V,"共同成本费用")</f>
        <v>0</v>
      </c>
      <c r="J40" s="152">
        <f>SUMIFS('附表7-扣除项目明细采集底稿'!X:X,'附表7-扣除项目明细采集底稿'!E:E,数据对照表!F5,'附表7-扣除项目明细采集底稿'!V:V,"共同成本费用")</f>
        <v>0</v>
      </c>
      <c r="K40" s="152">
        <f>SUMIFS('附表7-扣除项目明细采集底稿'!Y:Y,'附表7-扣除项目明细采集底稿'!E:E,数据对照表!F5,'附表7-扣除项目明细采集底稿'!V:V,"共同成本费用")</f>
        <v>0</v>
      </c>
      <c r="L40" s="153">
        <f t="shared" si="7"/>
        <v>0</v>
      </c>
      <c r="M40" s="153">
        <f t="shared" si="8"/>
        <v>0</v>
      </c>
    </row>
    <row r="41" s="134" customFormat="1" ht="24" customHeight="1" spans="1:13">
      <c r="A41" s="150">
        <v>36</v>
      </c>
      <c r="B41" s="150"/>
      <c r="C41" s="150"/>
      <c r="D41" s="154" t="str">
        <f>数据对照表!F6</f>
        <v>排污工程支出</v>
      </c>
      <c r="E41" s="152">
        <f>SUMIFS('附表7-扣除项目明细采集底稿'!W:W,'附表7-扣除项目明细采集底稿'!E:E,数据对照表!F6,'附表7-扣除项目明细采集底稿'!V:V,"直接归集成本费用")</f>
        <v>0</v>
      </c>
      <c r="F41" s="152">
        <f>SUMIFS('附表7-扣除项目明细采集底稿'!X:X,'附表7-扣除项目明细采集底稿'!E:E,数据对照表!F6,'附表7-扣除项目明细采集底稿'!V:V,"直接归集成本费用")</f>
        <v>0</v>
      </c>
      <c r="G41" s="152">
        <f>SUMIFS('附表7-扣除项目明细采集底稿'!Y:Y,'附表7-扣除项目明细采集底稿'!E:E,数据对照表!F6,'附表7-扣除项目明细采集底稿'!V:V,"直接归集成本费用")</f>
        <v>0</v>
      </c>
      <c r="H41" s="153">
        <f t="shared" si="6"/>
        <v>0</v>
      </c>
      <c r="I41" s="152">
        <f>SUMIFS('附表7-扣除项目明细采集底稿'!W:W,'附表7-扣除项目明细采集底稿'!E:E,数据对照表!F6,'附表7-扣除项目明细采集底稿'!V:V,"共同成本费用")</f>
        <v>0</v>
      </c>
      <c r="J41" s="152">
        <f>SUMIFS('附表7-扣除项目明细采集底稿'!X:X,'附表7-扣除项目明细采集底稿'!E:E,数据对照表!F6,'附表7-扣除项目明细采集底稿'!V:V,"共同成本费用")</f>
        <v>0</v>
      </c>
      <c r="K41" s="152">
        <f>SUMIFS('附表7-扣除项目明细采集底稿'!Y:Y,'附表7-扣除项目明细采集底稿'!E:E,数据对照表!F6,'附表7-扣除项目明细采集底稿'!V:V,"共同成本费用")</f>
        <v>0</v>
      </c>
      <c r="L41" s="153">
        <f t="shared" si="7"/>
        <v>0</v>
      </c>
      <c r="M41" s="153">
        <f t="shared" si="8"/>
        <v>0</v>
      </c>
    </row>
    <row r="42" s="134" customFormat="1" ht="24" customHeight="1" spans="1:13">
      <c r="A42" s="150">
        <v>37</v>
      </c>
      <c r="B42" s="150"/>
      <c r="C42" s="150"/>
      <c r="D42" s="154" t="str">
        <f>数据对照表!F7</f>
        <v>排洪工程支出</v>
      </c>
      <c r="E42" s="152">
        <f>SUMIFS('附表7-扣除项目明细采集底稿'!W:W,'附表7-扣除项目明细采集底稿'!E:E,数据对照表!F7,'附表7-扣除项目明细采集底稿'!V:V,"直接归集成本费用")</f>
        <v>0</v>
      </c>
      <c r="F42" s="152">
        <f>SUMIFS('附表7-扣除项目明细采集底稿'!X:X,'附表7-扣除项目明细采集底稿'!E:E,数据对照表!F7,'附表7-扣除项目明细采集底稿'!V:V,"直接归集成本费用")</f>
        <v>0</v>
      </c>
      <c r="G42" s="152">
        <f>SUMIFS('附表7-扣除项目明细采集底稿'!Y:Y,'附表7-扣除项目明细采集底稿'!E:E,数据对照表!F7,'附表7-扣除项目明细采集底稿'!V:V,"直接归集成本费用")</f>
        <v>0</v>
      </c>
      <c r="H42" s="153">
        <f t="shared" si="6"/>
        <v>0</v>
      </c>
      <c r="I42" s="152">
        <f>SUMIFS('附表7-扣除项目明细采集底稿'!W:W,'附表7-扣除项目明细采集底稿'!E:E,数据对照表!F7,'附表7-扣除项目明细采集底稿'!V:V,"共同成本费用")</f>
        <v>0</v>
      </c>
      <c r="J42" s="152">
        <f>SUMIFS('附表7-扣除项目明细采集底稿'!X:X,'附表7-扣除项目明细采集底稿'!E:E,数据对照表!F7,'附表7-扣除项目明细采集底稿'!V:V,"共同成本费用")</f>
        <v>0</v>
      </c>
      <c r="K42" s="152">
        <f>SUMIFS('附表7-扣除项目明细采集底稿'!Y:Y,'附表7-扣除项目明细采集底稿'!E:E,数据对照表!F7,'附表7-扣除项目明细采集底稿'!V:V,"共同成本费用")</f>
        <v>0</v>
      </c>
      <c r="L42" s="153">
        <f t="shared" si="7"/>
        <v>0</v>
      </c>
      <c r="M42" s="153">
        <f t="shared" si="8"/>
        <v>0</v>
      </c>
    </row>
    <row r="43" s="134" customFormat="1" ht="24" customHeight="1" spans="1:13">
      <c r="A43" s="150">
        <v>38</v>
      </c>
      <c r="B43" s="150"/>
      <c r="C43" s="150"/>
      <c r="D43" s="154" t="str">
        <f>数据对照表!F8</f>
        <v>通讯工程支出</v>
      </c>
      <c r="E43" s="152">
        <f>SUMIFS('附表7-扣除项目明细采集底稿'!W:W,'附表7-扣除项目明细采集底稿'!E:E,数据对照表!F8,'附表7-扣除项目明细采集底稿'!V:V,"直接归集成本费用")</f>
        <v>0</v>
      </c>
      <c r="F43" s="152">
        <f>SUMIFS('附表7-扣除项目明细采集底稿'!X:X,'附表7-扣除项目明细采集底稿'!E:E,数据对照表!F8,'附表7-扣除项目明细采集底稿'!V:V,"直接归集成本费用")</f>
        <v>0</v>
      </c>
      <c r="G43" s="152">
        <f>SUMIFS('附表7-扣除项目明细采集底稿'!Y:Y,'附表7-扣除项目明细采集底稿'!E:E,数据对照表!F8,'附表7-扣除项目明细采集底稿'!V:V,"直接归集成本费用")</f>
        <v>0</v>
      </c>
      <c r="H43" s="153">
        <f t="shared" si="6"/>
        <v>0</v>
      </c>
      <c r="I43" s="152">
        <f>SUMIFS('附表7-扣除项目明细采集底稿'!W:W,'附表7-扣除项目明细采集底稿'!E:E,数据对照表!F8,'附表7-扣除项目明细采集底稿'!V:V,"共同成本费用")</f>
        <v>0</v>
      </c>
      <c r="J43" s="152">
        <f>SUMIFS('附表7-扣除项目明细采集底稿'!X:X,'附表7-扣除项目明细采集底稿'!E:E,数据对照表!F8,'附表7-扣除项目明细采集底稿'!V:V,"共同成本费用")</f>
        <v>0</v>
      </c>
      <c r="K43" s="152">
        <f>SUMIFS('附表7-扣除项目明细采集底稿'!Y:Y,'附表7-扣除项目明细采集底稿'!E:E,数据对照表!F8,'附表7-扣除项目明细采集底稿'!V:V,"共同成本费用")</f>
        <v>0</v>
      </c>
      <c r="L43" s="153">
        <f t="shared" si="7"/>
        <v>0</v>
      </c>
      <c r="M43" s="153">
        <f t="shared" si="8"/>
        <v>0</v>
      </c>
    </row>
    <row r="44" s="134" customFormat="1" ht="24" customHeight="1" spans="1:13">
      <c r="A44" s="150">
        <v>39</v>
      </c>
      <c r="B44" s="150"/>
      <c r="C44" s="150"/>
      <c r="D44" s="154" t="str">
        <f>数据对照表!F9</f>
        <v>照明工程支出</v>
      </c>
      <c r="E44" s="152">
        <f>SUMIFS('附表7-扣除项目明细采集底稿'!W:W,'附表7-扣除项目明细采集底稿'!E:E,数据对照表!F9,'附表7-扣除项目明细采集底稿'!V:V,"直接归集成本费用")</f>
        <v>0</v>
      </c>
      <c r="F44" s="152">
        <f>SUMIFS('附表7-扣除项目明细采集底稿'!X:X,'附表7-扣除项目明细采集底稿'!E:E,数据对照表!F9,'附表7-扣除项目明细采集底稿'!V:V,"直接归集成本费用")</f>
        <v>0</v>
      </c>
      <c r="G44" s="152">
        <f>SUMIFS('附表7-扣除项目明细采集底稿'!Y:Y,'附表7-扣除项目明细采集底稿'!E:E,数据对照表!F9,'附表7-扣除项目明细采集底稿'!V:V,"直接归集成本费用")</f>
        <v>0</v>
      </c>
      <c r="H44" s="153">
        <f t="shared" si="6"/>
        <v>0</v>
      </c>
      <c r="I44" s="152">
        <f>SUMIFS('附表7-扣除项目明细采集底稿'!W:W,'附表7-扣除项目明细采集底稿'!E:E,数据对照表!F9,'附表7-扣除项目明细采集底稿'!V:V,"共同成本费用")</f>
        <v>0</v>
      </c>
      <c r="J44" s="152">
        <f>SUMIFS('附表7-扣除项目明细采集底稿'!X:X,'附表7-扣除项目明细采集底稿'!E:E,数据对照表!F9,'附表7-扣除项目明细采集底稿'!V:V,"共同成本费用")</f>
        <v>0</v>
      </c>
      <c r="K44" s="152">
        <f>SUMIFS('附表7-扣除项目明细采集底稿'!Y:Y,'附表7-扣除项目明细采集底稿'!E:E,数据对照表!F9,'附表7-扣除项目明细采集底稿'!V:V,"共同成本费用")</f>
        <v>0</v>
      </c>
      <c r="L44" s="153">
        <f t="shared" si="7"/>
        <v>0</v>
      </c>
      <c r="M44" s="153">
        <f t="shared" si="8"/>
        <v>0</v>
      </c>
    </row>
    <row r="45" s="134" customFormat="1" ht="24" customHeight="1" spans="1:13">
      <c r="A45" s="150">
        <v>40</v>
      </c>
      <c r="B45" s="150"/>
      <c r="C45" s="150"/>
      <c r="D45" s="154" t="str">
        <f>数据对照表!F10</f>
        <v>环卫工程支出</v>
      </c>
      <c r="E45" s="152">
        <f>SUMIFS('附表7-扣除项目明细采集底稿'!W:W,'附表7-扣除项目明细采集底稿'!E:E,数据对照表!F10,'附表7-扣除项目明细采集底稿'!V:V,"直接归集成本费用")</f>
        <v>0</v>
      </c>
      <c r="F45" s="152">
        <f>SUMIFS('附表7-扣除项目明细采集底稿'!X:X,'附表7-扣除项目明细采集底稿'!E:E,数据对照表!F10,'附表7-扣除项目明细采集底稿'!V:V,"直接归集成本费用")</f>
        <v>0</v>
      </c>
      <c r="G45" s="152">
        <f>SUMIFS('附表7-扣除项目明细采集底稿'!Y:Y,'附表7-扣除项目明细采集底稿'!E:E,数据对照表!F10,'附表7-扣除项目明细采集底稿'!V:V,"直接归集成本费用")</f>
        <v>0</v>
      </c>
      <c r="H45" s="153">
        <f t="shared" si="6"/>
        <v>0</v>
      </c>
      <c r="I45" s="152">
        <f>SUMIFS('附表7-扣除项目明细采集底稿'!W:W,'附表7-扣除项目明细采集底稿'!E:E,数据对照表!F10,'附表7-扣除项目明细采集底稿'!V:V,"共同成本费用")</f>
        <v>0</v>
      </c>
      <c r="J45" s="152">
        <f>SUMIFS('附表7-扣除项目明细采集底稿'!X:X,'附表7-扣除项目明细采集底稿'!E:E,数据对照表!F10,'附表7-扣除项目明细采集底稿'!V:V,"共同成本费用")</f>
        <v>0</v>
      </c>
      <c r="K45" s="152">
        <f>SUMIFS('附表7-扣除项目明细采集底稿'!Y:Y,'附表7-扣除项目明细采集底稿'!E:E,数据对照表!F10,'附表7-扣除项目明细采集底稿'!V:V,"共同成本费用")</f>
        <v>0</v>
      </c>
      <c r="L45" s="153">
        <f t="shared" si="7"/>
        <v>0</v>
      </c>
      <c r="M45" s="153">
        <f t="shared" si="8"/>
        <v>0</v>
      </c>
    </row>
    <row r="46" s="134" customFormat="1" ht="24" customHeight="1" spans="1:13">
      <c r="A46" s="150">
        <v>41</v>
      </c>
      <c r="B46" s="150"/>
      <c r="C46" s="150"/>
      <c r="D46" s="154" t="str">
        <f>数据对照表!F11</f>
        <v>绿化费用</v>
      </c>
      <c r="E46" s="152">
        <f>SUMIFS('附表7-扣除项目明细采集底稿'!W:W,'附表7-扣除项目明细采集底稿'!E:E,数据对照表!F11,'附表7-扣除项目明细采集底稿'!V:V,"直接归集成本费用")</f>
        <v>0</v>
      </c>
      <c r="F46" s="152">
        <f>SUMIFS('附表7-扣除项目明细采集底稿'!X:X,'附表7-扣除项目明细采集底稿'!E:E,数据对照表!F11,'附表7-扣除项目明细采集底稿'!V:V,"直接归集成本费用")</f>
        <v>0</v>
      </c>
      <c r="G46" s="152">
        <f>SUMIFS('附表7-扣除项目明细采集底稿'!Y:Y,'附表7-扣除项目明细采集底稿'!E:E,数据对照表!F11,'附表7-扣除项目明细采集底稿'!V:V,"直接归集成本费用")</f>
        <v>0</v>
      </c>
      <c r="H46" s="153">
        <f t="shared" si="6"/>
        <v>0</v>
      </c>
      <c r="I46" s="152">
        <f>SUMIFS('附表7-扣除项目明细采集底稿'!W:W,'附表7-扣除项目明细采集底稿'!E:E,数据对照表!F11,'附表7-扣除项目明细采集底稿'!V:V,"共同成本费用")</f>
        <v>0</v>
      </c>
      <c r="J46" s="152">
        <f>SUMIFS('附表7-扣除项目明细采集底稿'!X:X,'附表7-扣除项目明细采集底稿'!E:E,数据对照表!F11,'附表7-扣除项目明细采集底稿'!V:V,"共同成本费用")</f>
        <v>0</v>
      </c>
      <c r="K46" s="152">
        <f>SUMIFS('附表7-扣除项目明细采集底稿'!Y:Y,'附表7-扣除项目明细采集底稿'!E:E,数据对照表!F11,'附表7-扣除项目明细采集底稿'!V:V,"共同成本费用")</f>
        <v>0</v>
      </c>
      <c r="L46" s="153">
        <f t="shared" si="7"/>
        <v>0</v>
      </c>
      <c r="M46" s="153">
        <f t="shared" si="8"/>
        <v>0</v>
      </c>
    </row>
    <row r="47" s="134" customFormat="1" ht="27.95" customHeight="1" spans="1:13">
      <c r="A47" s="150">
        <v>42</v>
      </c>
      <c r="B47" s="150"/>
      <c r="C47" s="150"/>
      <c r="D47" s="154" t="str">
        <f>数据对照表!F12</f>
        <v>其他设施工程发生的支出</v>
      </c>
      <c r="E47" s="152">
        <f>SUMIFS('附表7-扣除项目明细采集底稿'!W:W,'附表7-扣除项目明细采集底稿'!E:E,数据对照表!F12,'附表7-扣除项目明细采集底稿'!V:V,"直接归集成本费用")</f>
        <v>0</v>
      </c>
      <c r="F47" s="152">
        <f>SUMIFS('附表7-扣除项目明细采集底稿'!X:X,'附表7-扣除项目明细采集底稿'!E:E,数据对照表!F12,'附表7-扣除项目明细采集底稿'!V:V,"直接归集成本费用")</f>
        <v>0</v>
      </c>
      <c r="G47" s="152">
        <f>SUMIFS('附表7-扣除项目明细采集底稿'!Y:Y,'附表7-扣除项目明细采集底稿'!E:E,数据对照表!F12,'附表7-扣除项目明细采集底稿'!V:V,"直接归集成本费用")</f>
        <v>0</v>
      </c>
      <c r="H47" s="153">
        <f t="shared" si="6"/>
        <v>0</v>
      </c>
      <c r="I47" s="152">
        <f>SUMIFS('附表7-扣除项目明细采集底稿'!W:W,'附表7-扣除项目明细采集底稿'!E:E,数据对照表!F12,'附表7-扣除项目明细采集底稿'!V:V,"共同成本费用")</f>
        <v>0</v>
      </c>
      <c r="J47" s="152">
        <f>SUMIFS('附表7-扣除项目明细采集底稿'!X:X,'附表7-扣除项目明细采集底稿'!E:E,数据对照表!F12,'附表7-扣除项目明细采集底稿'!V:V,"共同成本费用")</f>
        <v>0</v>
      </c>
      <c r="K47" s="152">
        <f>SUMIFS('附表7-扣除项目明细采集底稿'!Y:Y,'附表7-扣除项目明细采集底稿'!E:E,数据对照表!F12,'附表7-扣除项目明细采集底稿'!V:V,"共同成本费用")</f>
        <v>0</v>
      </c>
      <c r="L47" s="153">
        <f t="shared" si="7"/>
        <v>0</v>
      </c>
      <c r="M47" s="153">
        <f t="shared" si="8"/>
        <v>0</v>
      </c>
    </row>
    <row r="48" s="134" customFormat="1" ht="24" customHeight="1" spans="1:13">
      <c r="A48" s="150">
        <v>43</v>
      </c>
      <c r="B48" s="150"/>
      <c r="C48" s="154" t="str">
        <f>数据对照表!G1</f>
        <v>公共配套设施费</v>
      </c>
      <c r="D48" s="154"/>
      <c r="E48" s="152">
        <f>SUMIFS('附表7-扣除项目明细采集底稿'!W:W,'附表7-扣除项目明细采集底稿'!D:D,数据对照表!G1,'附表7-扣除项目明细采集底稿'!V:V,"直接归集成本费用")</f>
        <v>0</v>
      </c>
      <c r="F48" s="152">
        <f>SUMIFS('附表7-扣除项目明细采集底稿'!X:X,'附表7-扣除项目明细采集底稿'!D:D,数据对照表!G1,'附表7-扣除项目明细采集底稿'!V:V,"直接归集成本费用")</f>
        <v>0</v>
      </c>
      <c r="G48" s="152">
        <f>SUMIFS('附表7-扣除项目明细采集底稿'!Y:Y,'附表7-扣除项目明细采集底稿'!D:D,数据对照表!G1,'附表7-扣除项目明细采集底稿'!V:V,"直接归集成本费用")</f>
        <v>0</v>
      </c>
      <c r="H48" s="153">
        <f t="shared" si="6"/>
        <v>0</v>
      </c>
      <c r="I48" s="152">
        <f>SUMIFS('附表7-扣除项目明细采集底稿'!W:W,'附表7-扣除项目明细采集底稿'!D:D,数据对照表!G1,'附表7-扣除项目明细采集底稿'!V:V,"共同成本费用")</f>
        <v>0</v>
      </c>
      <c r="J48" s="152">
        <f>SUMIFS('附表7-扣除项目明细采集底稿'!X:X,'附表7-扣除项目明细采集底稿'!D:D,数据对照表!G1,'附表7-扣除项目明细采集底稿'!V:V,"共同成本费用")</f>
        <v>0</v>
      </c>
      <c r="K48" s="152">
        <f>SUMIFS('附表7-扣除项目明细采集底稿'!Y:Y,'附表7-扣除项目明细采集底稿'!D:D,数据对照表!G1,'附表7-扣除项目明细采集底稿'!V:V,"共同成本费用")</f>
        <v>0</v>
      </c>
      <c r="L48" s="153">
        <f t="shared" si="7"/>
        <v>0</v>
      </c>
      <c r="M48" s="153">
        <f t="shared" si="8"/>
        <v>0</v>
      </c>
    </row>
    <row r="49" s="134" customFormat="1" ht="24" customHeight="1" spans="1:13">
      <c r="A49" s="150">
        <v>44</v>
      </c>
      <c r="B49" s="150"/>
      <c r="C49" s="150" t="s">
        <v>278</v>
      </c>
      <c r="D49" s="154" t="str">
        <f>数据对照表!G2</f>
        <v>居委会用房费用</v>
      </c>
      <c r="E49" s="152">
        <f>SUMIFS('附表7-扣除项目明细采集底稿'!W:W,'附表7-扣除项目明细采集底稿'!E:E,数据对照表!G2,'附表7-扣除项目明细采集底稿'!V:V,"直接归集成本费用")</f>
        <v>0</v>
      </c>
      <c r="F49" s="152">
        <f>SUMIFS('附表7-扣除项目明细采集底稿'!X:X,'附表7-扣除项目明细采集底稿'!E:E,数据对照表!G2,'附表7-扣除项目明细采集底稿'!V:V,"直接归集成本费用")</f>
        <v>0</v>
      </c>
      <c r="G49" s="152">
        <f>SUMIFS('附表7-扣除项目明细采集底稿'!Y:Y,'附表7-扣除项目明细采集底稿'!E:E,数据对照表!G2,'附表7-扣除项目明细采集底稿'!V:V,"直接归集成本费用")</f>
        <v>0</v>
      </c>
      <c r="H49" s="153">
        <f t="shared" si="6"/>
        <v>0</v>
      </c>
      <c r="I49" s="152">
        <f>SUMIFS('附表7-扣除项目明细采集底稿'!W:W,'附表7-扣除项目明细采集底稿'!E:E,数据对照表!G2,'附表7-扣除项目明细采集底稿'!V:V,"共同成本费用")</f>
        <v>0</v>
      </c>
      <c r="J49" s="152">
        <f>SUMIFS('附表7-扣除项目明细采集底稿'!X:X,'附表7-扣除项目明细采集底稿'!E:E,数据对照表!G2,'附表7-扣除项目明细采集底稿'!V:V,"共同成本费用")</f>
        <v>0</v>
      </c>
      <c r="K49" s="152">
        <f>SUMIFS('附表7-扣除项目明细采集底稿'!Y:Y,'附表7-扣除项目明细采集底稿'!E:E,数据对照表!G2,'附表7-扣除项目明细采集底稿'!V:V,"共同成本费用")</f>
        <v>0</v>
      </c>
      <c r="L49" s="153">
        <f t="shared" si="7"/>
        <v>0</v>
      </c>
      <c r="M49" s="153">
        <f t="shared" si="8"/>
        <v>0</v>
      </c>
    </row>
    <row r="50" s="134" customFormat="1" ht="24" customHeight="1" spans="1:13">
      <c r="A50" s="150">
        <v>45</v>
      </c>
      <c r="B50" s="150"/>
      <c r="C50" s="150"/>
      <c r="D50" s="154" t="str">
        <f>数据对照表!G3</f>
        <v>派出所用房费用</v>
      </c>
      <c r="E50" s="152">
        <f>SUMIFS('附表7-扣除项目明细采集底稿'!W:W,'附表7-扣除项目明细采集底稿'!E:E,数据对照表!G3,'附表7-扣除项目明细采集底稿'!V:V,"直接归集成本费用")</f>
        <v>0</v>
      </c>
      <c r="F50" s="152">
        <f>SUMIFS('附表7-扣除项目明细采集底稿'!X:X,'附表7-扣除项目明细采集底稿'!E:E,数据对照表!G3,'附表7-扣除项目明细采集底稿'!V:V,"直接归集成本费用")</f>
        <v>0</v>
      </c>
      <c r="G50" s="152">
        <f>SUMIFS('附表7-扣除项目明细采集底稿'!Y:Y,'附表7-扣除项目明细采集底稿'!E:E,数据对照表!G3,'附表7-扣除项目明细采集底稿'!V:V,"直接归集成本费用")</f>
        <v>0</v>
      </c>
      <c r="H50" s="153">
        <f t="shared" ref="H50:H66" si="9">SUM(E50:G50)</f>
        <v>0</v>
      </c>
      <c r="I50" s="152">
        <f>SUMIFS('附表7-扣除项目明细采集底稿'!W:W,'附表7-扣除项目明细采集底稿'!E:E,数据对照表!G3,'附表7-扣除项目明细采集底稿'!V:V,"共同成本费用")</f>
        <v>0</v>
      </c>
      <c r="J50" s="152">
        <f>SUMIFS('附表7-扣除项目明细采集底稿'!X:X,'附表7-扣除项目明细采集底稿'!E:E,数据对照表!G3,'附表7-扣除项目明细采集底稿'!V:V,"共同成本费用")</f>
        <v>0</v>
      </c>
      <c r="K50" s="152">
        <f>SUMIFS('附表7-扣除项目明细采集底稿'!Y:Y,'附表7-扣除项目明细采集底稿'!E:E,数据对照表!G3,'附表7-扣除项目明细采集底稿'!V:V,"共同成本费用")</f>
        <v>0</v>
      </c>
      <c r="L50" s="153">
        <f t="shared" ref="L50:L66" si="10">SUM(I50:K50)</f>
        <v>0</v>
      </c>
      <c r="M50" s="153">
        <f t="shared" ref="M50:M66" si="11">H50+L50</f>
        <v>0</v>
      </c>
    </row>
    <row r="51" s="134" customFormat="1" ht="24" customHeight="1" spans="1:13">
      <c r="A51" s="150">
        <v>46</v>
      </c>
      <c r="B51" s="150"/>
      <c r="C51" s="150"/>
      <c r="D51" s="154" t="str">
        <f>数据对照表!G4</f>
        <v>会所费用</v>
      </c>
      <c r="E51" s="152">
        <f>SUMIFS('附表7-扣除项目明细采集底稿'!W:W,'附表7-扣除项目明细采集底稿'!E:E,数据对照表!G4,'附表7-扣除项目明细采集底稿'!V:V,"直接归集成本费用")</f>
        <v>0</v>
      </c>
      <c r="F51" s="152">
        <f>SUMIFS('附表7-扣除项目明细采集底稿'!X:X,'附表7-扣除项目明细采集底稿'!E:E,数据对照表!G4,'附表7-扣除项目明细采集底稿'!V:V,"直接归集成本费用")</f>
        <v>0</v>
      </c>
      <c r="G51" s="152">
        <f>SUMIFS('附表7-扣除项目明细采集底稿'!Y:Y,'附表7-扣除项目明细采集底稿'!E:E,数据对照表!G4,'附表7-扣除项目明细采集底稿'!V:V,"直接归集成本费用")</f>
        <v>0</v>
      </c>
      <c r="H51" s="153">
        <f t="shared" si="9"/>
        <v>0</v>
      </c>
      <c r="I51" s="152">
        <f>SUMIFS('附表7-扣除项目明细采集底稿'!W:W,'附表7-扣除项目明细采集底稿'!E:E,数据对照表!G4,'附表7-扣除项目明细采集底稿'!V:V,"共同成本费用")</f>
        <v>0</v>
      </c>
      <c r="J51" s="152">
        <f>SUMIFS('附表7-扣除项目明细采集底稿'!X:X,'附表7-扣除项目明细采集底稿'!E:E,数据对照表!G4,'附表7-扣除项目明细采集底稿'!V:V,"共同成本费用")</f>
        <v>0</v>
      </c>
      <c r="K51" s="152">
        <f>SUMIFS('附表7-扣除项目明细采集底稿'!Y:Y,'附表7-扣除项目明细采集底稿'!E:E,数据对照表!G4,'附表7-扣除项目明细采集底稿'!V:V,"共同成本费用")</f>
        <v>0</v>
      </c>
      <c r="L51" s="153">
        <f t="shared" si="10"/>
        <v>0</v>
      </c>
      <c r="M51" s="153">
        <f t="shared" si="11"/>
        <v>0</v>
      </c>
    </row>
    <row r="52" s="134" customFormat="1" ht="24" customHeight="1" spans="1:13">
      <c r="A52" s="150">
        <v>47</v>
      </c>
      <c r="B52" s="150"/>
      <c r="C52" s="150"/>
      <c r="D52" s="154" t="str">
        <f>数据对照表!G5</f>
        <v>非机动车库（场）费用</v>
      </c>
      <c r="E52" s="152">
        <f>SUMIFS('附表7-扣除项目明细采集底稿'!W:W,'附表7-扣除项目明细采集底稿'!E:E,数据对照表!G5,'附表7-扣除项目明细采集底稿'!V:V,"直接归集成本费用")</f>
        <v>0</v>
      </c>
      <c r="F52" s="152">
        <f>SUMIFS('附表7-扣除项目明细采集底稿'!X:X,'附表7-扣除项目明细采集底稿'!E:E,数据对照表!G5,'附表7-扣除项目明细采集底稿'!V:V,"直接归集成本费用")</f>
        <v>0</v>
      </c>
      <c r="G52" s="152">
        <f>SUMIFS('附表7-扣除项目明细采集底稿'!Y:Y,'附表7-扣除项目明细采集底稿'!E:E,数据对照表!G5,'附表7-扣除项目明细采集底稿'!V:V,"直接归集成本费用")</f>
        <v>0</v>
      </c>
      <c r="H52" s="153">
        <f t="shared" si="9"/>
        <v>0</v>
      </c>
      <c r="I52" s="152">
        <f>SUMIFS('附表7-扣除项目明细采集底稿'!W:W,'附表7-扣除项目明细采集底稿'!E:E,数据对照表!G5,'附表7-扣除项目明细采集底稿'!V:V,"共同成本费用")</f>
        <v>0</v>
      </c>
      <c r="J52" s="152">
        <f>SUMIFS('附表7-扣除项目明细采集底稿'!X:X,'附表7-扣除项目明细采集底稿'!E:E,数据对照表!G5,'附表7-扣除项目明细采集底稿'!V:V,"共同成本费用")</f>
        <v>0</v>
      </c>
      <c r="K52" s="152">
        <f>SUMIFS('附表7-扣除项目明细采集底稿'!Y:Y,'附表7-扣除项目明细采集底稿'!E:E,数据对照表!G5,'附表7-扣除项目明细采集底稿'!V:V,"共同成本费用")</f>
        <v>0</v>
      </c>
      <c r="L52" s="153">
        <f t="shared" si="10"/>
        <v>0</v>
      </c>
      <c r="M52" s="153">
        <f t="shared" si="11"/>
        <v>0</v>
      </c>
    </row>
    <row r="53" s="134" customFormat="1" ht="24" customHeight="1" spans="1:13">
      <c r="A53" s="150">
        <v>48</v>
      </c>
      <c r="B53" s="150"/>
      <c r="C53" s="150"/>
      <c r="D53" s="154" t="str">
        <f>数据对照表!G6</f>
        <v>地下人防设施费用</v>
      </c>
      <c r="E53" s="152">
        <f>SUMIFS('附表7-扣除项目明细采集底稿'!W:W,'附表7-扣除项目明细采集底稿'!E:E,数据对照表!G6,'附表7-扣除项目明细采集底稿'!V:V,"直接归集成本费用")</f>
        <v>0</v>
      </c>
      <c r="F53" s="152">
        <f>SUMIFS('附表7-扣除项目明细采集底稿'!X:X,'附表7-扣除项目明细采集底稿'!E:E,数据对照表!G6,'附表7-扣除项目明细采集底稿'!V:V,"直接归集成本费用")</f>
        <v>0</v>
      </c>
      <c r="G53" s="152">
        <f>SUMIFS('附表7-扣除项目明细采集底稿'!Y:Y,'附表7-扣除项目明细采集底稿'!E:E,数据对照表!G6,'附表7-扣除项目明细采集底稿'!V:V,"直接归集成本费用")</f>
        <v>0</v>
      </c>
      <c r="H53" s="153">
        <f t="shared" si="9"/>
        <v>0</v>
      </c>
      <c r="I53" s="152">
        <f>SUMIFS('附表7-扣除项目明细采集底稿'!W:W,'附表7-扣除项目明细采集底稿'!E:E,数据对照表!G6,'附表7-扣除项目明细采集底稿'!V:V,"共同成本费用")</f>
        <v>0</v>
      </c>
      <c r="J53" s="152">
        <f>SUMIFS('附表7-扣除项目明细采集底稿'!X:X,'附表7-扣除项目明细采集底稿'!E:E,数据对照表!G6,'附表7-扣除项目明细采集底稿'!V:V,"共同成本费用")</f>
        <v>0</v>
      </c>
      <c r="K53" s="152">
        <f>SUMIFS('附表7-扣除项目明细采集底稿'!Y:Y,'附表7-扣除项目明细采集底稿'!E:E,数据对照表!G6,'附表7-扣除项目明细采集底稿'!V:V,"共同成本费用")</f>
        <v>0</v>
      </c>
      <c r="L53" s="153">
        <f t="shared" si="10"/>
        <v>0</v>
      </c>
      <c r="M53" s="153">
        <f t="shared" si="11"/>
        <v>0</v>
      </c>
    </row>
    <row r="54" s="134" customFormat="1" ht="24" customHeight="1" spans="1:13">
      <c r="A54" s="150">
        <v>49</v>
      </c>
      <c r="B54" s="150"/>
      <c r="C54" s="150"/>
      <c r="D54" s="154" t="str">
        <f>数据对照表!G7</f>
        <v>物业管理场所费用</v>
      </c>
      <c r="E54" s="152">
        <f>SUMIFS('附表7-扣除项目明细采集底稿'!W:W,'附表7-扣除项目明细采集底稿'!E:E,数据对照表!G7,'附表7-扣除项目明细采集底稿'!V:V,"直接归集成本费用")</f>
        <v>0</v>
      </c>
      <c r="F54" s="152">
        <f>SUMIFS('附表7-扣除项目明细采集底稿'!X:X,'附表7-扣除项目明细采集底稿'!E:E,数据对照表!G7,'附表7-扣除项目明细采集底稿'!V:V,"直接归集成本费用")</f>
        <v>0</v>
      </c>
      <c r="G54" s="152">
        <f>SUMIFS('附表7-扣除项目明细采集底稿'!Y:Y,'附表7-扣除项目明细采集底稿'!E:E,数据对照表!G7,'附表7-扣除项目明细采集底稿'!V:V,"直接归集成本费用")</f>
        <v>0</v>
      </c>
      <c r="H54" s="153">
        <f t="shared" si="9"/>
        <v>0</v>
      </c>
      <c r="I54" s="152">
        <f>SUMIFS('附表7-扣除项目明细采集底稿'!W:W,'附表7-扣除项目明细采集底稿'!E:E,数据对照表!G7,'附表7-扣除项目明细采集底稿'!V:V,"共同成本费用")</f>
        <v>0</v>
      </c>
      <c r="J54" s="152">
        <f>SUMIFS('附表7-扣除项目明细采集底稿'!X:X,'附表7-扣除项目明细采集底稿'!E:E,数据对照表!G7,'附表7-扣除项目明细采集底稿'!V:V,"共同成本费用")</f>
        <v>0</v>
      </c>
      <c r="K54" s="152">
        <f>SUMIFS('附表7-扣除项目明细采集底稿'!Y:Y,'附表7-扣除项目明细采集底稿'!E:E,数据对照表!G7,'附表7-扣除项目明细采集底稿'!V:V,"共同成本费用")</f>
        <v>0</v>
      </c>
      <c r="L54" s="153">
        <f t="shared" si="10"/>
        <v>0</v>
      </c>
      <c r="M54" s="153">
        <f t="shared" si="11"/>
        <v>0</v>
      </c>
    </row>
    <row r="55" s="134" customFormat="1" ht="24" customHeight="1" spans="1:13">
      <c r="A55" s="150">
        <v>50</v>
      </c>
      <c r="B55" s="150"/>
      <c r="C55" s="150"/>
      <c r="D55" s="154" t="str">
        <f>数据对照表!G8</f>
        <v>变电站费用</v>
      </c>
      <c r="E55" s="152">
        <f>SUMIFS('附表7-扣除项目明细采集底稿'!W:W,'附表7-扣除项目明细采集底稿'!E:E,数据对照表!G8,'附表7-扣除项目明细采集底稿'!V:V,"直接归集成本费用")</f>
        <v>0</v>
      </c>
      <c r="F55" s="152">
        <f>SUMIFS('附表7-扣除项目明细采集底稿'!X:X,'附表7-扣除项目明细采集底稿'!E:E,数据对照表!G8,'附表7-扣除项目明细采集底稿'!V:V,"直接归集成本费用")</f>
        <v>0</v>
      </c>
      <c r="G55" s="152">
        <f>SUMIFS('附表7-扣除项目明细采集底稿'!Y:Y,'附表7-扣除项目明细采集底稿'!E:E,数据对照表!G8,'附表7-扣除项目明细采集底稿'!V:V,"直接归集成本费用")</f>
        <v>0</v>
      </c>
      <c r="H55" s="153">
        <f t="shared" si="9"/>
        <v>0</v>
      </c>
      <c r="I55" s="152">
        <f>SUMIFS('附表7-扣除项目明细采集底稿'!W:W,'附表7-扣除项目明细采集底稿'!E:E,数据对照表!G8,'附表7-扣除项目明细采集底稿'!V:V,"共同成本费用")</f>
        <v>0</v>
      </c>
      <c r="J55" s="152">
        <f>SUMIFS('附表7-扣除项目明细采集底稿'!X:X,'附表7-扣除项目明细采集底稿'!E:E,数据对照表!G8,'附表7-扣除项目明细采集底稿'!V:V,"共同成本费用")</f>
        <v>0</v>
      </c>
      <c r="K55" s="152">
        <f>SUMIFS('附表7-扣除项目明细采集底稿'!Y:Y,'附表7-扣除项目明细采集底稿'!E:E,数据对照表!G8,'附表7-扣除项目明细采集底稿'!V:V,"共同成本费用")</f>
        <v>0</v>
      </c>
      <c r="L55" s="153">
        <f t="shared" si="10"/>
        <v>0</v>
      </c>
      <c r="M55" s="153">
        <f t="shared" si="11"/>
        <v>0</v>
      </c>
    </row>
    <row r="56" s="134" customFormat="1" ht="24" customHeight="1" spans="1:13">
      <c r="A56" s="150">
        <v>51</v>
      </c>
      <c r="B56" s="150"/>
      <c r="C56" s="150"/>
      <c r="D56" s="154" t="str">
        <f>数据对照表!G9</f>
        <v>热力站费用</v>
      </c>
      <c r="E56" s="152">
        <f>SUMIFS('附表7-扣除项目明细采集底稿'!W:W,'附表7-扣除项目明细采集底稿'!E:E,数据对照表!G9,'附表7-扣除项目明细采集底稿'!V:V,"直接归集成本费用")</f>
        <v>0</v>
      </c>
      <c r="F56" s="152">
        <f>SUMIFS('附表7-扣除项目明细采集底稿'!X:X,'附表7-扣除项目明细采集底稿'!E:E,数据对照表!G9,'附表7-扣除项目明细采集底稿'!V:V,"直接归集成本费用")</f>
        <v>0</v>
      </c>
      <c r="G56" s="152">
        <f>SUMIFS('附表7-扣除项目明细采集底稿'!Y:Y,'附表7-扣除项目明细采集底稿'!E:E,数据对照表!G9,'附表7-扣除项目明细采集底稿'!V:V,"直接归集成本费用")</f>
        <v>0</v>
      </c>
      <c r="H56" s="153">
        <f t="shared" si="9"/>
        <v>0</v>
      </c>
      <c r="I56" s="152">
        <f>SUMIFS('附表7-扣除项目明细采集底稿'!W:W,'附表7-扣除项目明细采集底稿'!E:E,数据对照表!G9,'附表7-扣除项目明细采集底稿'!V:V,"共同成本费用")</f>
        <v>0</v>
      </c>
      <c r="J56" s="152">
        <f>SUMIFS('附表7-扣除项目明细采集底稿'!X:X,'附表7-扣除项目明细采集底稿'!E:E,数据对照表!G9,'附表7-扣除项目明细采集底稿'!V:V,"共同成本费用")</f>
        <v>0</v>
      </c>
      <c r="K56" s="152">
        <f>SUMIFS('附表7-扣除项目明细采集底稿'!Y:Y,'附表7-扣除项目明细采集底稿'!E:E,数据对照表!G9,'附表7-扣除项目明细采集底稿'!V:V,"共同成本费用")</f>
        <v>0</v>
      </c>
      <c r="L56" s="153">
        <f t="shared" si="10"/>
        <v>0</v>
      </c>
      <c r="M56" s="153">
        <f t="shared" si="11"/>
        <v>0</v>
      </c>
    </row>
    <row r="57" s="134" customFormat="1" ht="24" customHeight="1" spans="1:13">
      <c r="A57" s="150">
        <v>52</v>
      </c>
      <c r="B57" s="150"/>
      <c r="C57" s="150"/>
      <c r="D57" s="154" t="str">
        <f>数据对照表!G10</f>
        <v>水厂费用</v>
      </c>
      <c r="E57" s="152">
        <f>SUMIFS('附表7-扣除项目明细采集底稿'!W:W,'附表7-扣除项目明细采集底稿'!E:E,数据对照表!G10,'附表7-扣除项目明细采集底稿'!V:V,"直接归集成本费用")</f>
        <v>0</v>
      </c>
      <c r="F57" s="152">
        <f>SUMIFS('附表7-扣除项目明细采集底稿'!X:X,'附表7-扣除项目明细采集底稿'!E:E,数据对照表!G10,'附表7-扣除项目明细采集底稿'!V:V,"直接归集成本费用")</f>
        <v>0</v>
      </c>
      <c r="G57" s="152">
        <f>SUMIFS('附表7-扣除项目明细采集底稿'!Y:Y,'附表7-扣除项目明细采集底稿'!E:E,数据对照表!G10,'附表7-扣除项目明细采集底稿'!V:V,"直接归集成本费用")</f>
        <v>0</v>
      </c>
      <c r="H57" s="153">
        <f t="shared" si="9"/>
        <v>0</v>
      </c>
      <c r="I57" s="152">
        <f>SUMIFS('附表7-扣除项目明细采集底稿'!W:W,'附表7-扣除项目明细采集底稿'!E:E,数据对照表!G10,'附表7-扣除项目明细采集底稿'!V:V,"共同成本费用")</f>
        <v>0</v>
      </c>
      <c r="J57" s="152">
        <f>SUMIFS('附表7-扣除项目明细采集底稿'!X:X,'附表7-扣除项目明细采集底稿'!E:E,数据对照表!G10,'附表7-扣除项目明细采集底稿'!V:V,"共同成本费用")</f>
        <v>0</v>
      </c>
      <c r="K57" s="152">
        <f>SUMIFS('附表7-扣除项目明细采集底稿'!Y:Y,'附表7-扣除项目明细采集底稿'!E:E,数据对照表!G10,'附表7-扣除项目明细采集底稿'!V:V,"共同成本费用")</f>
        <v>0</v>
      </c>
      <c r="L57" s="153">
        <f t="shared" si="10"/>
        <v>0</v>
      </c>
      <c r="M57" s="153">
        <f t="shared" si="11"/>
        <v>0</v>
      </c>
    </row>
    <row r="58" s="134" customFormat="1" ht="24" customHeight="1" spans="1:13">
      <c r="A58" s="150">
        <v>53</v>
      </c>
      <c r="B58" s="150"/>
      <c r="C58" s="150"/>
      <c r="D58" s="154" t="str">
        <f>数据对照表!G11</f>
        <v>文体场馆费用</v>
      </c>
      <c r="E58" s="152">
        <f>SUMIFS('附表7-扣除项目明细采集底稿'!W:W,'附表7-扣除项目明细采集底稿'!E:E,数据对照表!G11,'附表7-扣除项目明细采集底稿'!V:V,"直接归集成本费用")</f>
        <v>0</v>
      </c>
      <c r="F58" s="152">
        <f>SUMIFS('附表7-扣除项目明细采集底稿'!X:X,'附表7-扣除项目明细采集底稿'!E:E,数据对照表!G11,'附表7-扣除项目明细采集底稿'!V:V,"直接归集成本费用")</f>
        <v>0</v>
      </c>
      <c r="G58" s="152">
        <f>SUMIFS('附表7-扣除项目明细采集底稿'!Y:Y,'附表7-扣除项目明细采集底稿'!E:E,数据对照表!G11,'附表7-扣除项目明细采集底稿'!V:V,"直接归集成本费用")</f>
        <v>0</v>
      </c>
      <c r="H58" s="153">
        <f t="shared" si="9"/>
        <v>0</v>
      </c>
      <c r="I58" s="152">
        <f>SUMIFS('附表7-扣除项目明细采集底稿'!W:W,'附表7-扣除项目明细采集底稿'!E:E,数据对照表!G11,'附表7-扣除项目明细采集底稿'!V:V,"共同成本费用")</f>
        <v>0</v>
      </c>
      <c r="J58" s="152">
        <f>SUMIFS('附表7-扣除项目明细采集底稿'!X:X,'附表7-扣除项目明细采集底稿'!E:E,数据对照表!G11,'附表7-扣除项目明细采集底稿'!V:V,"共同成本费用")</f>
        <v>0</v>
      </c>
      <c r="K58" s="152">
        <f>SUMIFS('附表7-扣除项目明细采集底稿'!Y:Y,'附表7-扣除项目明细采集底稿'!E:E,数据对照表!G11,'附表7-扣除项目明细采集底稿'!V:V,"共同成本费用")</f>
        <v>0</v>
      </c>
      <c r="L58" s="153">
        <f t="shared" si="10"/>
        <v>0</v>
      </c>
      <c r="M58" s="153">
        <f t="shared" si="11"/>
        <v>0</v>
      </c>
    </row>
    <row r="59" s="134" customFormat="1" ht="24" customHeight="1" spans="1:13">
      <c r="A59" s="150">
        <v>54</v>
      </c>
      <c r="B59" s="150"/>
      <c r="C59" s="150"/>
      <c r="D59" s="154" t="str">
        <f>数据对照表!G12</f>
        <v>学校费用</v>
      </c>
      <c r="E59" s="152">
        <f>SUMIFS('附表7-扣除项目明细采集底稿'!W:W,'附表7-扣除项目明细采集底稿'!E:E,数据对照表!G12,'附表7-扣除项目明细采集底稿'!V:V,"直接归集成本费用")</f>
        <v>0</v>
      </c>
      <c r="F59" s="152">
        <f>SUMIFS('附表7-扣除项目明细采集底稿'!X:X,'附表7-扣除项目明细采集底稿'!E:E,数据对照表!G12,'附表7-扣除项目明细采集底稿'!V:V,"直接归集成本费用")</f>
        <v>0</v>
      </c>
      <c r="G59" s="152">
        <f>SUMIFS('附表7-扣除项目明细采集底稿'!Y:Y,'附表7-扣除项目明细采集底稿'!E:E,数据对照表!G12,'附表7-扣除项目明细采集底稿'!V:V,"直接归集成本费用")</f>
        <v>0</v>
      </c>
      <c r="H59" s="153">
        <f t="shared" si="9"/>
        <v>0</v>
      </c>
      <c r="I59" s="152">
        <f>SUMIFS('附表7-扣除项目明细采集底稿'!W:W,'附表7-扣除项目明细采集底稿'!E:E,数据对照表!G12,'附表7-扣除项目明细采集底稿'!V:V,"共同成本费用")</f>
        <v>0</v>
      </c>
      <c r="J59" s="152">
        <f>SUMIFS('附表7-扣除项目明细采集底稿'!X:X,'附表7-扣除项目明细采集底稿'!E:E,数据对照表!G12,'附表7-扣除项目明细采集底稿'!V:V,"共同成本费用")</f>
        <v>0</v>
      </c>
      <c r="K59" s="152">
        <f>SUMIFS('附表7-扣除项目明细采集底稿'!Y:Y,'附表7-扣除项目明细采集底稿'!E:E,数据对照表!G12,'附表7-扣除项目明细采集底稿'!V:V,"共同成本费用")</f>
        <v>0</v>
      </c>
      <c r="L59" s="153">
        <f t="shared" si="10"/>
        <v>0</v>
      </c>
      <c r="M59" s="153">
        <f t="shared" si="11"/>
        <v>0</v>
      </c>
    </row>
    <row r="60" s="134" customFormat="1" ht="24" customHeight="1" spans="1:13">
      <c r="A60" s="150">
        <v>55</v>
      </c>
      <c r="B60" s="150"/>
      <c r="C60" s="150"/>
      <c r="D60" s="154" t="str">
        <f>数据对照表!G13</f>
        <v>幼儿园费用</v>
      </c>
      <c r="E60" s="152">
        <f>SUMIFS('附表7-扣除项目明细采集底稿'!W:W,'附表7-扣除项目明细采集底稿'!E:E,数据对照表!G13,'附表7-扣除项目明细采集底稿'!V:V,"直接归集成本费用")</f>
        <v>0</v>
      </c>
      <c r="F60" s="152">
        <f>SUMIFS('附表7-扣除项目明细采集底稿'!X:X,'附表7-扣除项目明细采集底稿'!E:E,数据对照表!G13,'附表7-扣除项目明细采集底稿'!V:V,"直接归集成本费用")</f>
        <v>0</v>
      </c>
      <c r="G60" s="152">
        <f>SUMIFS('附表7-扣除项目明细采集底稿'!Y:Y,'附表7-扣除项目明细采集底稿'!E:E,数据对照表!G13,'附表7-扣除项目明细采集底稿'!V:V,"直接归集成本费用")</f>
        <v>0</v>
      </c>
      <c r="H60" s="153">
        <f t="shared" si="9"/>
        <v>0</v>
      </c>
      <c r="I60" s="152">
        <f>SUMIFS('附表7-扣除项目明细采集底稿'!W:W,'附表7-扣除项目明细采集底稿'!E:E,数据对照表!G13,'附表7-扣除项目明细采集底稿'!V:V,"共同成本费用")</f>
        <v>0</v>
      </c>
      <c r="J60" s="152">
        <f>SUMIFS('附表7-扣除项目明细采集底稿'!X:X,'附表7-扣除项目明细采集底稿'!E:E,数据对照表!G13,'附表7-扣除项目明细采集底稿'!V:V,"共同成本费用")</f>
        <v>0</v>
      </c>
      <c r="K60" s="152">
        <f>SUMIFS('附表7-扣除项目明细采集底稿'!Y:Y,'附表7-扣除项目明细采集底稿'!E:E,数据对照表!G13,'附表7-扣除项目明细采集底稿'!V:V,"共同成本费用")</f>
        <v>0</v>
      </c>
      <c r="L60" s="153">
        <f t="shared" si="10"/>
        <v>0</v>
      </c>
      <c r="M60" s="153">
        <f t="shared" si="11"/>
        <v>0</v>
      </c>
    </row>
    <row r="61" s="134" customFormat="1" ht="24" customHeight="1" spans="1:13">
      <c r="A61" s="150">
        <v>56</v>
      </c>
      <c r="B61" s="150"/>
      <c r="C61" s="150"/>
      <c r="D61" s="154" t="str">
        <f>数据对照表!G14</f>
        <v>托儿所费用</v>
      </c>
      <c r="E61" s="152">
        <f>SUMIFS('附表7-扣除项目明细采集底稿'!W:W,'附表7-扣除项目明细采集底稿'!E:E,数据对照表!G14,'附表7-扣除项目明细采集底稿'!V:V,"直接归集成本费用")</f>
        <v>0</v>
      </c>
      <c r="F61" s="152">
        <f>SUMIFS('附表7-扣除项目明细采集底稿'!X:X,'附表7-扣除项目明细采集底稿'!E:E,数据对照表!G14,'附表7-扣除项目明细采集底稿'!V:V,"直接归集成本费用")</f>
        <v>0</v>
      </c>
      <c r="G61" s="152">
        <f>SUMIFS('附表7-扣除项目明细采集底稿'!Y:Y,'附表7-扣除项目明细采集底稿'!E:E,数据对照表!G14,'附表7-扣除项目明细采集底稿'!V:V,"直接归集成本费用")</f>
        <v>0</v>
      </c>
      <c r="H61" s="153">
        <f t="shared" si="9"/>
        <v>0</v>
      </c>
      <c r="I61" s="152">
        <f>SUMIFS('附表7-扣除项目明细采集底稿'!W:W,'附表7-扣除项目明细采集底稿'!E:E,数据对照表!G14,'附表7-扣除项目明细采集底稿'!V:V,"共同成本费用")</f>
        <v>0</v>
      </c>
      <c r="J61" s="152">
        <f>SUMIFS('附表7-扣除项目明细采集底稿'!X:X,'附表7-扣除项目明细采集底稿'!E:E,数据对照表!G14,'附表7-扣除项目明细采集底稿'!V:V,"共同成本费用")</f>
        <v>0</v>
      </c>
      <c r="K61" s="152">
        <f>SUMIFS('附表7-扣除项目明细采集底稿'!Y:Y,'附表7-扣除项目明细采集底稿'!E:E,数据对照表!G14,'附表7-扣除项目明细采集底稿'!V:V,"共同成本费用")</f>
        <v>0</v>
      </c>
      <c r="L61" s="153">
        <f t="shared" si="10"/>
        <v>0</v>
      </c>
      <c r="M61" s="153">
        <f t="shared" si="11"/>
        <v>0</v>
      </c>
    </row>
    <row r="62" s="134" customFormat="1" ht="24" customHeight="1" spans="1:13">
      <c r="A62" s="150">
        <v>57</v>
      </c>
      <c r="B62" s="150"/>
      <c r="C62" s="150"/>
      <c r="D62" s="154" t="str">
        <f>数据对照表!G15</f>
        <v>医院费用</v>
      </c>
      <c r="E62" s="152">
        <f>SUMIFS('附表7-扣除项目明细采集底稿'!W:W,'附表7-扣除项目明细采集底稿'!E:E,数据对照表!G15,'附表7-扣除项目明细采集底稿'!V:V,"直接归集成本费用")</f>
        <v>0</v>
      </c>
      <c r="F62" s="152">
        <f>SUMIFS('附表7-扣除项目明细采集底稿'!X:X,'附表7-扣除项目明细采集底稿'!E:E,数据对照表!G15,'附表7-扣除项目明细采集底稿'!V:V,"直接归集成本费用")</f>
        <v>0</v>
      </c>
      <c r="G62" s="152">
        <f>SUMIFS('附表7-扣除项目明细采集底稿'!Y:Y,'附表7-扣除项目明细采集底稿'!E:E,数据对照表!G15,'附表7-扣除项目明细采集底稿'!V:V,"直接归集成本费用")</f>
        <v>0</v>
      </c>
      <c r="H62" s="153">
        <f t="shared" si="9"/>
        <v>0</v>
      </c>
      <c r="I62" s="152">
        <f>SUMIFS('附表7-扣除项目明细采集底稿'!W:W,'附表7-扣除项目明细采集底稿'!E:E,数据对照表!G15,'附表7-扣除项目明细采集底稿'!V:V,"共同成本费用")</f>
        <v>0</v>
      </c>
      <c r="J62" s="152">
        <f>SUMIFS('附表7-扣除项目明细采集底稿'!X:X,'附表7-扣除项目明细采集底稿'!E:E,数据对照表!G15,'附表7-扣除项目明细采集底稿'!V:V,"共同成本费用")</f>
        <v>0</v>
      </c>
      <c r="K62" s="152">
        <f>SUMIFS('附表7-扣除项目明细采集底稿'!Y:Y,'附表7-扣除项目明细采集底稿'!E:E,数据对照表!G15,'附表7-扣除项目明细采集底稿'!V:V,"共同成本费用")</f>
        <v>0</v>
      </c>
      <c r="L62" s="153">
        <f t="shared" si="10"/>
        <v>0</v>
      </c>
      <c r="M62" s="153">
        <f t="shared" si="11"/>
        <v>0</v>
      </c>
    </row>
    <row r="63" s="134" customFormat="1" ht="24" customHeight="1" spans="1:13">
      <c r="A63" s="150">
        <v>58</v>
      </c>
      <c r="B63" s="150"/>
      <c r="C63" s="150"/>
      <c r="D63" s="154" t="str">
        <f>数据对照表!G16</f>
        <v>邮电通讯费用</v>
      </c>
      <c r="E63" s="152">
        <f>SUMIFS('附表7-扣除项目明细采集底稿'!W:W,'附表7-扣除项目明细采集底稿'!E:E,数据对照表!G16,'附表7-扣除项目明细采集底稿'!V:V,"直接归集成本费用")</f>
        <v>0</v>
      </c>
      <c r="F63" s="152">
        <f>SUMIFS('附表7-扣除项目明细采集底稿'!X:X,'附表7-扣除项目明细采集底稿'!E:E,数据对照表!G16,'附表7-扣除项目明细采集底稿'!V:V,"直接归集成本费用")</f>
        <v>0</v>
      </c>
      <c r="G63" s="152">
        <f>SUMIFS('附表7-扣除项目明细采集底稿'!Y:Y,'附表7-扣除项目明细采集底稿'!E:E,数据对照表!G16,'附表7-扣除项目明细采集底稿'!V:V,"直接归集成本费用")</f>
        <v>0</v>
      </c>
      <c r="H63" s="153">
        <f t="shared" si="9"/>
        <v>0</v>
      </c>
      <c r="I63" s="152">
        <f>SUMIFS('附表7-扣除项目明细采集底稿'!W:W,'附表7-扣除项目明细采集底稿'!E:E,数据对照表!G16,'附表7-扣除项目明细采集底稿'!V:V,"共同成本费用")</f>
        <v>0</v>
      </c>
      <c r="J63" s="152">
        <f>SUMIFS('附表7-扣除项目明细采集底稿'!X:X,'附表7-扣除项目明细采集底稿'!E:E,数据对照表!G16,'附表7-扣除项目明细采集底稿'!V:V,"共同成本费用")</f>
        <v>0</v>
      </c>
      <c r="K63" s="152">
        <f>SUMIFS('附表7-扣除项目明细采集底稿'!Y:Y,'附表7-扣除项目明细采集底稿'!E:E,数据对照表!G16,'附表7-扣除项目明细采集底稿'!V:V,"共同成本费用")</f>
        <v>0</v>
      </c>
      <c r="L63" s="153">
        <f t="shared" si="10"/>
        <v>0</v>
      </c>
      <c r="M63" s="153">
        <f t="shared" si="11"/>
        <v>0</v>
      </c>
    </row>
    <row r="64" s="134" customFormat="1" ht="27.95" customHeight="1" spans="1:13">
      <c r="A64" s="150">
        <v>59</v>
      </c>
      <c r="B64" s="150"/>
      <c r="C64" s="150"/>
      <c r="D64" s="154" t="str">
        <f>数据对照表!G17</f>
        <v>其他非营业性房产费用</v>
      </c>
      <c r="E64" s="152">
        <f>SUMIFS('附表7-扣除项目明细采集底稿'!W:W,'附表7-扣除项目明细采集底稿'!E:E,数据对照表!G17,'附表7-扣除项目明细采集底稿'!V:V,"直接归集成本费用")</f>
        <v>0</v>
      </c>
      <c r="F64" s="152">
        <f>SUMIFS('附表7-扣除项目明细采集底稿'!X:X,'附表7-扣除项目明细采集底稿'!E:E,数据对照表!G17,'附表7-扣除项目明细采集底稿'!V:V,"直接归集成本费用")</f>
        <v>0</v>
      </c>
      <c r="G64" s="152">
        <f>SUMIFS('附表7-扣除项目明细采集底稿'!Y:Y,'附表7-扣除项目明细采集底稿'!E:E,数据对照表!G17,'附表7-扣除项目明细采集底稿'!V:V,"直接归集成本费用")</f>
        <v>0</v>
      </c>
      <c r="H64" s="153">
        <f t="shared" si="9"/>
        <v>0</v>
      </c>
      <c r="I64" s="152">
        <f>SUMIFS('附表7-扣除项目明细采集底稿'!W:W,'附表7-扣除项目明细采集底稿'!E:E,数据对照表!G17,'附表7-扣除项目明细采集底稿'!V:V,"共同成本费用")</f>
        <v>0</v>
      </c>
      <c r="J64" s="152">
        <f>SUMIFS('附表7-扣除项目明细采集底稿'!X:X,'附表7-扣除项目明细采集底稿'!E:E,数据对照表!G17,'附表7-扣除项目明细采集底稿'!V:V,"共同成本费用")</f>
        <v>0</v>
      </c>
      <c r="K64" s="152">
        <f>SUMIFS('附表7-扣除项目明细采集底稿'!Y:Y,'附表7-扣除项目明细采集底稿'!E:E,数据对照表!G17,'附表7-扣除项目明细采集底稿'!V:V,"共同成本费用")</f>
        <v>0</v>
      </c>
      <c r="L64" s="153">
        <f t="shared" si="10"/>
        <v>0</v>
      </c>
      <c r="M64" s="153">
        <f t="shared" si="11"/>
        <v>0</v>
      </c>
    </row>
    <row r="65" s="134" customFormat="1" ht="24" customHeight="1" spans="1:13">
      <c r="A65" s="150">
        <v>60</v>
      </c>
      <c r="B65" s="150"/>
      <c r="C65" s="151" t="str">
        <f>数据对照表!H1</f>
        <v>开发间接费用</v>
      </c>
      <c r="D65" s="151"/>
      <c r="E65" s="152">
        <f>SUMIFS('附表7-扣除项目明细采集底稿'!W:W,'附表7-扣除项目明细采集底稿'!D:D,数据对照表!H1,'附表7-扣除项目明细采集底稿'!V:V,"直接归集成本费用")</f>
        <v>0</v>
      </c>
      <c r="F65" s="152">
        <f>SUMIFS('附表7-扣除项目明细采集底稿'!X:X,'附表7-扣除项目明细采集底稿'!D:D,数据对照表!H1,'附表7-扣除项目明细采集底稿'!V:V,"直接归集成本费用")</f>
        <v>0</v>
      </c>
      <c r="G65" s="152">
        <f>SUMIFS('附表7-扣除项目明细采集底稿'!Y:Y,'附表7-扣除项目明细采集底稿'!D:D,数据对照表!H1,'附表7-扣除项目明细采集底稿'!V:V,"直接归集成本费用")</f>
        <v>0</v>
      </c>
      <c r="H65" s="153">
        <f t="shared" si="9"/>
        <v>0</v>
      </c>
      <c r="I65" s="152">
        <f>SUMIFS('附表7-扣除项目明细采集底稿'!W:W,'附表7-扣除项目明细采集底稿'!D:D,数据对照表!H1,'附表7-扣除项目明细采集底稿'!V:V,"共同成本费用")</f>
        <v>0</v>
      </c>
      <c r="J65" s="152">
        <f>SUMIFS('附表7-扣除项目明细采集底稿'!X:X,'附表7-扣除项目明细采集底稿'!D:D,数据对照表!H1,'附表7-扣除项目明细采集底稿'!V:V,"共同成本费用")</f>
        <v>0</v>
      </c>
      <c r="K65" s="152">
        <f>SUMIFS('附表7-扣除项目明细采集底稿'!Y:Y,'附表7-扣除项目明细采集底稿'!D:D,数据对照表!H1,'附表7-扣除项目明细采集底稿'!V:V,"共同成本费用")</f>
        <v>0</v>
      </c>
      <c r="L65" s="153">
        <f t="shared" si="10"/>
        <v>0</v>
      </c>
      <c r="M65" s="153">
        <f t="shared" si="11"/>
        <v>0</v>
      </c>
    </row>
    <row r="66" s="134" customFormat="1" ht="24" customHeight="1" spans="1:13">
      <c r="A66" s="150">
        <v>61</v>
      </c>
      <c r="B66" s="150"/>
      <c r="C66" s="150" t="s">
        <v>278</v>
      </c>
      <c r="D66" s="154" t="str">
        <f>数据对照表!H2</f>
        <v>管理人员工资</v>
      </c>
      <c r="E66" s="152">
        <f>SUMIFS('附表7-扣除项目明细采集底稿'!W:W,'附表7-扣除项目明细采集底稿'!E:E,数据对照表!H2,'附表7-扣除项目明细采集底稿'!V:V,"直接归集成本费用")</f>
        <v>0</v>
      </c>
      <c r="F66" s="152">
        <f>SUMIFS('附表7-扣除项目明细采集底稿'!X:X,'附表7-扣除项目明细采集底稿'!E:E,数据对照表!H2,'附表7-扣除项目明细采集底稿'!V:V,"直接归集成本费用")</f>
        <v>0</v>
      </c>
      <c r="G66" s="152">
        <f>SUMIFS('附表7-扣除项目明细采集底稿'!Y:Y,'附表7-扣除项目明细采集底稿'!E:E,数据对照表!H2,'附表7-扣除项目明细采集底稿'!V:V,"直接归集成本费用")</f>
        <v>0</v>
      </c>
      <c r="H66" s="153">
        <f t="shared" si="9"/>
        <v>0</v>
      </c>
      <c r="I66" s="152">
        <f>SUMIFS('附表7-扣除项目明细采集底稿'!W:W,'附表7-扣除项目明细采集底稿'!E:E,数据对照表!H2,'附表7-扣除项目明细采集底稿'!V:V,"共同成本费用")</f>
        <v>0</v>
      </c>
      <c r="J66" s="152">
        <f>SUMIFS('附表7-扣除项目明细采集底稿'!X:X,'附表7-扣除项目明细采集底稿'!E:E,数据对照表!H2,'附表7-扣除项目明细采集底稿'!V:V,"共同成本费用")</f>
        <v>0</v>
      </c>
      <c r="K66" s="152">
        <f>SUMIFS('附表7-扣除项目明细采集底稿'!Y:Y,'附表7-扣除项目明细采集底稿'!E:E,数据对照表!H2,'附表7-扣除项目明细采集底稿'!V:V,"共同成本费用")</f>
        <v>0</v>
      </c>
      <c r="L66" s="153">
        <f t="shared" si="10"/>
        <v>0</v>
      </c>
      <c r="M66" s="153">
        <f t="shared" si="11"/>
        <v>0</v>
      </c>
    </row>
    <row r="67" s="134" customFormat="1" ht="24" customHeight="1" spans="1:13">
      <c r="A67" s="150">
        <v>62</v>
      </c>
      <c r="B67" s="150"/>
      <c r="C67" s="150"/>
      <c r="D67" s="154" t="str">
        <f>数据对照表!H3</f>
        <v>职工福利费</v>
      </c>
      <c r="E67" s="152">
        <f>SUMIFS('附表7-扣除项目明细采集底稿'!W:W,'附表7-扣除项目明细采集底稿'!E:E,数据对照表!H3,'附表7-扣除项目明细采集底稿'!V:V,"直接归集成本费用")</f>
        <v>0</v>
      </c>
      <c r="F67" s="152">
        <f>SUMIFS('附表7-扣除项目明细采集底稿'!X:X,'附表7-扣除项目明细采集底稿'!E:E,数据对照表!H3,'附表7-扣除项目明细采集底稿'!V:V,"直接归集成本费用")</f>
        <v>0</v>
      </c>
      <c r="G67" s="152">
        <f>SUMIFS('附表7-扣除项目明细采集底稿'!Y:Y,'附表7-扣除项目明细采集底稿'!E:E,数据对照表!H3,'附表7-扣除项目明细采集底稿'!V:V,"直接归集成本费用")</f>
        <v>0</v>
      </c>
      <c r="H67" s="153">
        <f t="shared" ref="H67:H74" si="12">SUM(E67:G67)</f>
        <v>0</v>
      </c>
      <c r="I67" s="152">
        <f>SUMIFS('附表7-扣除项目明细采集底稿'!W:W,'附表7-扣除项目明细采集底稿'!E:E,数据对照表!H3,'附表7-扣除项目明细采集底稿'!V:V,"共同成本费用")</f>
        <v>0</v>
      </c>
      <c r="J67" s="152">
        <f>SUMIFS('附表7-扣除项目明细采集底稿'!X:X,'附表7-扣除项目明细采集底稿'!E:E,数据对照表!H3,'附表7-扣除项目明细采集底稿'!V:V,"共同成本费用")</f>
        <v>0</v>
      </c>
      <c r="K67" s="152">
        <f>SUMIFS('附表7-扣除项目明细采集底稿'!Y:Y,'附表7-扣除项目明细采集底稿'!E:E,数据对照表!H3,'附表7-扣除项目明细采集底稿'!V:V,"共同成本费用")</f>
        <v>0</v>
      </c>
      <c r="L67" s="153">
        <f t="shared" ref="L67:L78" si="13">SUM(I67:K67)</f>
        <v>0</v>
      </c>
      <c r="M67" s="153">
        <f t="shared" ref="M67:M74" si="14">H67+L67</f>
        <v>0</v>
      </c>
    </row>
    <row r="68" s="134" customFormat="1" ht="24" customHeight="1" spans="1:13">
      <c r="A68" s="150">
        <v>63</v>
      </c>
      <c r="B68" s="150"/>
      <c r="C68" s="150"/>
      <c r="D68" s="154" t="str">
        <f>数据对照表!H4</f>
        <v>折旧费</v>
      </c>
      <c r="E68" s="152">
        <f>SUMIFS('附表7-扣除项目明细采集底稿'!W:W,'附表7-扣除项目明细采集底稿'!E:E,数据对照表!H4,'附表7-扣除项目明细采集底稿'!V:V,"直接归集成本费用")</f>
        <v>0</v>
      </c>
      <c r="F68" s="152">
        <f>SUMIFS('附表7-扣除项目明细采集底稿'!X:X,'附表7-扣除项目明细采集底稿'!E:E,数据对照表!H4,'附表7-扣除项目明细采集底稿'!V:V,"直接归集成本费用")</f>
        <v>0</v>
      </c>
      <c r="G68" s="152">
        <f>SUMIFS('附表7-扣除项目明细采集底稿'!Y:Y,'附表7-扣除项目明细采集底稿'!E:E,数据对照表!H4,'附表7-扣除项目明细采集底稿'!V:V,"直接归集成本费用")</f>
        <v>0</v>
      </c>
      <c r="H68" s="153">
        <f t="shared" si="12"/>
        <v>0</v>
      </c>
      <c r="I68" s="152">
        <f>SUMIFS('附表7-扣除项目明细采集底稿'!W:W,'附表7-扣除项目明细采集底稿'!E:E,数据对照表!H4,'附表7-扣除项目明细采集底稿'!V:V,"共同成本费用")</f>
        <v>0</v>
      </c>
      <c r="J68" s="152">
        <f>SUMIFS('附表7-扣除项目明细采集底稿'!X:X,'附表7-扣除项目明细采集底稿'!E:E,数据对照表!H4,'附表7-扣除项目明细采集底稿'!V:V,"共同成本费用")</f>
        <v>0</v>
      </c>
      <c r="K68" s="152">
        <f>SUMIFS('附表7-扣除项目明细采集底稿'!Y:Y,'附表7-扣除项目明细采集底稿'!E:E,数据对照表!H4,'附表7-扣除项目明细采集底稿'!V:V,"共同成本费用")</f>
        <v>0</v>
      </c>
      <c r="L68" s="153">
        <f t="shared" si="13"/>
        <v>0</v>
      </c>
      <c r="M68" s="153">
        <f t="shared" si="14"/>
        <v>0</v>
      </c>
    </row>
    <row r="69" s="134" customFormat="1" ht="24" customHeight="1" spans="1:13">
      <c r="A69" s="150">
        <v>64</v>
      </c>
      <c r="B69" s="150"/>
      <c r="C69" s="150"/>
      <c r="D69" s="154" t="str">
        <f>数据对照表!H5</f>
        <v>修理费</v>
      </c>
      <c r="E69" s="152">
        <f>SUMIFS('附表7-扣除项目明细采集底稿'!W:W,'附表7-扣除项目明细采集底稿'!E:E,数据对照表!H5,'附表7-扣除项目明细采集底稿'!V:V,"直接归集成本费用")</f>
        <v>0</v>
      </c>
      <c r="F69" s="152">
        <f>SUMIFS('附表7-扣除项目明细采集底稿'!X:X,'附表7-扣除项目明细采集底稿'!E:E,数据对照表!H5,'附表7-扣除项目明细采集底稿'!V:V,"直接归集成本费用")</f>
        <v>0</v>
      </c>
      <c r="G69" s="152">
        <f>SUMIFS('附表7-扣除项目明细采集底稿'!Y:Y,'附表7-扣除项目明细采集底稿'!E:E,数据对照表!H5,'附表7-扣除项目明细采集底稿'!V:V,"直接归集成本费用")</f>
        <v>0</v>
      </c>
      <c r="H69" s="153">
        <f t="shared" si="12"/>
        <v>0</v>
      </c>
      <c r="I69" s="152">
        <f>SUMIFS('附表7-扣除项目明细采集底稿'!W:W,'附表7-扣除项目明细采集底稿'!E:E,数据对照表!H5,'附表7-扣除项目明细采集底稿'!V:V,"共同成本费用")</f>
        <v>0</v>
      </c>
      <c r="J69" s="152">
        <f>SUMIFS('附表7-扣除项目明细采集底稿'!X:X,'附表7-扣除项目明细采集底稿'!E:E,数据对照表!H5,'附表7-扣除项目明细采集底稿'!V:V,"共同成本费用")</f>
        <v>0</v>
      </c>
      <c r="K69" s="152">
        <f>SUMIFS('附表7-扣除项目明细采集底稿'!Y:Y,'附表7-扣除项目明细采集底稿'!E:E,数据对照表!H5,'附表7-扣除项目明细采集底稿'!V:V,"共同成本费用")</f>
        <v>0</v>
      </c>
      <c r="L69" s="153">
        <f t="shared" si="13"/>
        <v>0</v>
      </c>
      <c r="M69" s="153">
        <f t="shared" si="14"/>
        <v>0</v>
      </c>
    </row>
    <row r="70" s="134" customFormat="1" ht="24" customHeight="1" spans="1:13">
      <c r="A70" s="150">
        <v>65</v>
      </c>
      <c r="B70" s="150"/>
      <c r="C70" s="150"/>
      <c r="D70" s="154" t="str">
        <f>数据对照表!H6</f>
        <v>办公费</v>
      </c>
      <c r="E70" s="152">
        <f>SUMIFS('附表7-扣除项目明细采集底稿'!W:W,'附表7-扣除项目明细采集底稿'!E:E,数据对照表!H6,'附表7-扣除项目明细采集底稿'!V:V,"直接归集成本费用")</f>
        <v>0</v>
      </c>
      <c r="F70" s="152">
        <f>SUMIFS('附表7-扣除项目明细采集底稿'!X:X,'附表7-扣除项目明细采集底稿'!E:E,数据对照表!H6,'附表7-扣除项目明细采集底稿'!V:V,"直接归集成本费用")</f>
        <v>0</v>
      </c>
      <c r="G70" s="152">
        <f>SUMIFS('附表7-扣除项目明细采集底稿'!Y:Y,'附表7-扣除项目明细采集底稿'!E:E,数据对照表!H6,'附表7-扣除项目明细采集底稿'!V:V,"直接归集成本费用")</f>
        <v>0</v>
      </c>
      <c r="H70" s="153">
        <f t="shared" si="12"/>
        <v>0</v>
      </c>
      <c r="I70" s="152">
        <f>SUMIFS('附表7-扣除项目明细采集底稿'!W:W,'附表7-扣除项目明细采集底稿'!E:E,数据对照表!H6,'附表7-扣除项目明细采集底稿'!V:V,"共同成本费用")</f>
        <v>0</v>
      </c>
      <c r="J70" s="152">
        <f>SUMIFS('附表7-扣除项目明细采集底稿'!X:X,'附表7-扣除项目明细采集底稿'!E:E,数据对照表!H6,'附表7-扣除项目明细采集底稿'!V:V,"共同成本费用")</f>
        <v>0</v>
      </c>
      <c r="K70" s="152">
        <f>SUMIFS('附表7-扣除项目明细采集底稿'!Y:Y,'附表7-扣除项目明细采集底稿'!E:E,数据对照表!H6,'附表7-扣除项目明细采集底稿'!V:V,"共同成本费用")</f>
        <v>0</v>
      </c>
      <c r="L70" s="153">
        <f t="shared" si="13"/>
        <v>0</v>
      </c>
      <c r="M70" s="153">
        <f t="shared" si="14"/>
        <v>0</v>
      </c>
    </row>
    <row r="71" s="134" customFormat="1" ht="24" customHeight="1" spans="1:13">
      <c r="A71" s="150">
        <v>66</v>
      </c>
      <c r="B71" s="150"/>
      <c r="C71" s="150"/>
      <c r="D71" s="154" t="str">
        <f>数据对照表!H7</f>
        <v>水电费</v>
      </c>
      <c r="E71" s="152">
        <f>SUMIFS('附表7-扣除项目明细采集底稿'!W:W,'附表7-扣除项目明细采集底稿'!E:E,数据对照表!H7,'附表7-扣除项目明细采集底稿'!V:V,"直接归集成本费用")</f>
        <v>0</v>
      </c>
      <c r="F71" s="152">
        <f>SUMIFS('附表7-扣除项目明细采集底稿'!X:X,'附表7-扣除项目明细采集底稿'!E:E,数据对照表!H7,'附表7-扣除项目明细采集底稿'!V:V,"直接归集成本费用")</f>
        <v>0</v>
      </c>
      <c r="G71" s="152">
        <f>SUMIFS('附表7-扣除项目明细采集底稿'!Y:Y,'附表7-扣除项目明细采集底稿'!E:E,数据对照表!H7,'附表7-扣除项目明细采集底稿'!V:V,"直接归集成本费用")</f>
        <v>0</v>
      </c>
      <c r="H71" s="153">
        <f t="shared" si="12"/>
        <v>0</v>
      </c>
      <c r="I71" s="152">
        <f>SUMIFS('附表7-扣除项目明细采集底稿'!W:W,'附表7-扣除项目明细采集底稿'!E:E,数据对照表!H7,'附表7-扣除项目明细采集底稿'!V:V,"共同成本费用")</f>
        <v>0</v>
      </c>
      <c r="J71" s="152">
        <f>SUMIFS('附表7-扣除项目明细采集底稿'!X:X,'附表7-扣除项目明细采集底稿'!E:E,数据对照表!H7,'附表7-扣除项目明细采集底稿'!V:V,"共同成本费用")</f>
        <v>0</v>
      </c>
      <c r="K71" s="152">
        <f>SUMIFS('附表7-扣除项目明细采集底稿'!Y:Y,'附表7-扣除项目明细采集底稿'!E:E,数据对照表!H7,'附表7-扣除项目明细采集底稿'!V:V,"共同成本费用")</f>
        <v>0</v>
      </c>
      <c r="L71" s="153">
        <f t="shared" si="13"/>
        <v>0</v>
      </c>
      <c r="M71" s="153">
        <f t="shared" si="14"/>
        <v>0</v>
      </c>
    </row>
    <row r="72" s="134" customFormat="1" ht="24" customHeight="1" spans="1:13">
      <c r="A72" s="150">
        <v>67</v>
      </c>
      <c r="B72" s="150"/>
      <c r="C72" s="150"/>
      <c r="D72" s="154" t="str">
        <f>数据对照表!H8</f>
        <v>劳动保护费</v>
      </c>
      <c r="E72" s="152">
        <f>SUMIFS('附表7-扣除项目明细采集底稿'!W:W,'附表7-扣除项目明细采集底稿'!E:E,数据对照表!H8,'附表7-扣除项目明细采集底稿'!V:V,"直接归集成本费用")</f>
        <v>0</v>
      </c>
      <c r="F72" s="152">
        <f>SUMIFS('附表7-扣除项目明细采集底稿'!X:X,'附表7-扣除项目明细采集底稿'!E:E,数据对照表!H8,'附表7-扣除项目明细采集底稿'!V:V,"直接归集成本费用")</f>
        <v>0</v>
      </c>
      <c r="G72" s="152">
        <f>SUMIFS('附表7-扣除项目明细采集底稿'!Y:Y,'附表7-扣除项目明细采集底稿'!E:E,数据对照表!H8,'附表7-扣除项目明细采集底稿'!V:V,"直接归集成本费用")</f>
        <v>0</v>
      </c>
      <c r="H72" s="153">
        <f t="shared" si="12"/>
        <v>0</v>
      </c>
      <c r="I72" s="152">
        <f>SUMIFS('附表7-扣除项目明细采集底稿'!W:W,'附表7-扣除项目明细采集底稿'!E:E,数据对照表!H8,'附表7-扣除项目明细采集底稿'!V:V,"共同成本费用")</f>
        <v>0</v>
      </c>
      <c r="J72" s="152">
        <f>SUMIFS('附表7-扣除项目明细采集底稿'!X:X,'附表7-扣除项目明细采集底稿'!E:E,数据对照表!H8,'附表7-扣除项目明细采集底稿'!V:V,"共同成本费用")</f>
        <v>0</v>
      </c>
      <c r="K72" s="152">
        <f>SUMIFS('附表7-扣除项目明细采集底稿'!Y:Y,'附表7-扣除项目明细采集底稿'!E:E,数据对照表!H8,'附表7-扣除项目明细采集底稿'!V:V,"共同成本费用")</f>
        <v>0</v>
      </c>
      <c r="L72" s="153">
        <f t="shared" si="13"/>
        <v>0</v>
      </c>
      <c r="M72" s="153">
        <f t="shared" si="14"/>
        <v>0</v>
      </c>
    </row>
    <row r="73" s="134" customFormat="1" ht="24" customHeight="1" spans="1:13">
      <c r="A73" s="150">
        <v>68</v>
      </c>
      <c r="B73" s="150"/>
      <c r="C73" s="150"/>
      <c r="D73" s="154" t="str">
        <f>数据对照表!H9</f>
        <v>周转房摊销费</v>
      </c>
      <c r="E73" s="152">
        <f>SUMIFS('附表7-扣除项目明细采集底稿'!W:W,'附表7-扣除项目明细采集底稿'!E:E,数据对照表!H9,'附表7-扣除项目明细采集底稿'!V:V,"直接归集成本费用")</f>
        <v>0</v>
      </c>
      <c r="F73" s="152">
        <f>SUMIFS('附表7-扣除项目明细采集底稿'!X:X,'附表7-扣除项目明细采集底稿'!E:E,数据对照表!H9,'附表7-扣除项目明细采集底稿'!V:V,"直接归集成本费用")</f>
        <v>0</v>
      </c>
      <c r="G73" s="152">
        <f>SUMIFS('附表7-扣除项目明细采集底稿'!Y:Y,'附表7-扣除项目明细采集底稿'!E:E,数据对照表!H9,'附表7-扣除项目明细采集底稿'!V:V,"直接归集成本费用")</f>
        <v>0</v>
      </c>
      <c r="H73" s="153">
        <f t="shared" si="12"/>
        <v>0</v>
      </c>
      <c r="I73" s="152">
        <f>SUMIFS('附表7-扣除项目明细采集底稿'!W:W,'附表7-扣除项目明细采集底稿'!E:E,数据对照表!H9,'附表7-扣除项目明细采集底稿'!V:V,"共同成本费用")</f>
        <v>0</v>
      </c>
      <c r="J73" s="152">
        <f>SUMIFS('附表7-扣除项目明细采集底稿'!X:X,'附表7-扣除项目明细采集底稿'!E:E,数据对照表!H9,'附表7-扣除项目明细采集底稿'!V:V,"共同成本费用")</f>
        <v>0</v>
      </c>
      <c r="K73" s="152">
        <f>SUMIFS('附表7-扣除项目明细采集底稿'!Y:Y,'附表7-扣除项目明细采集底稿'!E:E,数据对照表!H9,'附表7-扣除项目明细采集底稿'!V:V,"共同成本费用")</f>
        <v>0</v>
      </c>
      <c r="L73" s="153">
        <f t="shared" si="13"/>
        <v>0</v>
      </c>
      <c r="M73" s="153">
        <f t="shared" si="14"/>
        <v>0</v>
      </c>
    </row>
    <row r="74" s="134" customFormat="1" ht="24" customHeight="1" spans="1:13">
      <c r="A74" s="150">
        <v>69</v>
      </c>
      <c r="B74" s="150"/>
      <c r="C74" s="150"/>
      <c r="D74" s="154" t="str">
        <f>数据对照表!H10</f>
        <v>其他发生的间接费用</v>
      </c>
      <c r="E74" s="152">
        <f>SUMIFS('附表7-扣除项目明细采集底稿'!W:W,'附表7-扣除项目明细采集底稿'!E:E,数据对照表!H10,'附表7-扣除项目明细采集底稿'!V:V,"直接归集成本费用")</f>
        <v>0</v>
      </c>
      <c r="F74" s="152">
        <f>SUMIFS('附表7-扣除项目明细采集底稿'!X:X,'附表7-扣除项目明细采集底稿'!E:E,数据对照表!H10,'附表7-扣除项目明细采集底稿'!V:V,"直接归集成本费用")</f>
        <v>0</v>
      </c>
      <c r="G74" s="152">
        <f>SUMIFS('附表7-扣除项目明细采集底稿'!Y:Y,'附表7-扣除项目明细采集底稿'!E:E,数据对照表!H10,'附表7-扣除项目明细采集底稿'!V:V,"直接归集成本费用")</f>
        <v>0</v>
      </c>
      <c r="H74" s="153">
        <f t="shared" si="12"/>
        <v>0</v>
      </c>
      <c r="I74" s="152">
        <f>SUMIFS('附表7-扣除项目明细采集底稿'!W:W,'附表7-扣除项目明细采集底稿'!E:E,数据对照表!H10,'附表7-扣除项目明细采集底稿'!V:V,"共同成本费用")</f>
        <v>0</v>
      </c>
      <c r="J74" s="152">
        <f>SUMIFS('附表7-扣除项目明细采集底稿'!X:X,'附表7-扣除项目明细采集底稿'!E:E,数据对照表!H10,'附表7-扣除项目明细采集底稿'!V:V,"共同成本费用")</f>
        <v>0</v>
      </c>
      <c r="K74" s="152">
        <f>SUMIFS('附表7-扣除项目明细采集底稿'!Y:Y,'附表7-扣除项目明细采集底稿'!E:E,数据对照表!H10,'附表7-扣除项目明细采集底稿'!V:V,"共同成本费用")</f>
        <v>0</v>
      </c>
      <c r="L74" s="153">
        <f t="shared" si="13"/>
        <v>0</v>
      </c>
      <c r="M74" s="153">
        <f t="shared" si="14"/>
        <v>0</v>
      </c>
    </row>
    <row r="75" s="134" customFormat="1" ht="24" customHeight="1" spans="1:13">
      <c r="A75" s="150">
        <v>70</v>
      </c>
      <c r="B75" s="160" t="s">
        <v>150</v>
      </c>
      <c r="C75" s="161"/>
      <c r="D75" s="162"/>
      <c r="E75" s="152">
        <f>SUM(SUMIFS('附表7-扣除项目明细采集底稿'!W:W,'附表7-扣除项目明细采集底稿'!D:D,{"土地征用及拆迁补偿费","前期工程费","建筑安装工程费","基础设施费","公共配套设施费","开发间接费用"},'附表7-扣除项目明细采集底稿'!V:V,"直接归集成本费用",'附表7-扣除项目明细采集底稿'!AB:AB,"不可加计"))</f>
        <v>0</v>
      </c>
      <c r="F75" s="152">
        <f>SUM(SUMIFS('附表7-扣除项目明细采集底稿'!X:X,'附表7-扣除项目明细采集底稿'!D:D,{"土地征用及拆迁补偿费","前期工程费","建筑安装工程费","基础设施费","公共配套设施费","开发间接费用"},'附表7-扣除项目明细采集底稿'!V:V,"直接归集成本费用",'附表7-扣除项目明细采集底稿'!AB:AB,"不可加计"))</f>
        <v>0</v>
      </c>
      <c r="G75" s="152">
        <f>SUM(SUMIFS('附表7-扣除项目明细采集底稿'!Y:Y,'附表7-扣除项目明细采集底稿'!D:D,{"土地征用及拆迁补偿费","前期工程费","建筑安装工程费","基础设施费","公共配套设施费","开发间接费用"},'附表7-扣除项目明细采集底稿'!V:V,"直接归集成本费用",'附表7-扣除项目明细采集底稿'!AB:AB,"不可加计"))</f>
        <v>0</v>
      </c>
      <c r="H75" s="153">
        <f t="shared" ref="H75:H87" si="15">SUM(E75:G75)</f>
        <v>0</v>
      </c>
      <c r="I75" s="152">
        <f>SUM(SUMIFS('附表7-扣除项目明细采集底稿'!W:W,'附表7-扣除项目明细采集底稿'!D:D,{"土地征用及拆迁补偿费","前期工程费","建筑安装工程费","基础设施费","公共配套设施费","开发间接费用"},'附表7-扣除项目明细采集底稿'!V:V,"共同成本费用",'附表7-扣除项目明细采集底稿'!AB:AB,"不可加计"))</f>
        <v>0</v>
      </c>
      <c r="J75" s="152">
        <f>SUM(SUMIFS('附表7-扣除项目明细采集底稿'!X:X,'附表7-扣除项目明细采集底稿'!D:D,{"土地征用及拆迁补偿费","前期工程费","建筑安装工程费","基础设施费","公共配套设施费","开发间接费用"},'附表7-扣除项目明细采集底稿'!V:V,"共同成本费用",'附表7-扣除项目明细采集底稿'!AB:AB,"不可加计"))</f>
        <v>0</v>
      </c>
      <c r="K75" s="152">
        <f>SUM(SUMIFS('附表7-扣除项目明细采集底稿'!Y:Y,'附表7-扣除项目明细采集底稿'!D:D,{"土地征用及拆迁补偿费","前期工程费","建筑安装工程费","基础设施费","公共配套设施费","开发间接费用"},'附表7-扣除项目明细采集底稿'!V:V,"共同成本费用",'附表7-扣除项目明细采集底稿'!AB:AB,"不可加计"))</f>
        <v>0</v>
      </c>
      <c r="L75" s="153">
        <f t="shared" si="13"/>
        <v>0</v>
      </c>
      <c r="M75" s="153">
        <f t="shared" ref="M75:M87" si="16">H75+L75</f>
        <v>0</v>
      </c>
    </row>
    <row r="76" s="134" customFormat="1" ht="24" customHeight="1" spans="1:13">
      <c r="A76" s="150">
        <v>71</v>
      </c>
      <c r="B76" s="154" t="str">
        <f>数据对照表!I1</f>
        <v>房地产开发费用</v>
      </c>
      <c r="C76" s="154"/>
      <c r="D76" s="154"/>
      <c r="E76" s="152">
        <f>SUM(E77:E78)</f>
        <v>0</v>
      </c>
      <c r="F76" s="152">
        <f>SUM(F77:F78)</f>
        <v>0</v>
      </c>
      <c r="G76" s="152">
        <f>SUM(G77:G78)</f>
        <v>0</v>
      </c>
      <c r="H76" s="153">
        <f t="shared" si="15"/>
        <v>0</v>
      </c>
      <c r="I76" s="152">
        <f>SUM(I77:I78)</f>
        <v>0</v>
      </c>
      <c r="J76" s="152">
        <f>SUM(J77:J78)</f>
        <v>0</v>
      </c>
      <c r="K76" s="152">
        <f>SUM(K77:K78)</f>
        <v>0</v>
      </c>
      <c r="L76" s="153">
        <f t="shared" si="13"/>
        <v>0</v>
      </c>
      <c r="M76" s="153">
        <f t="shared" si="16"/>
        <v>0</v>
      </c>
    </row>
    <row r="77" s="134" customFormat="1" ht="24" customHeight="1" spans="1:13">
      <c r="A77" s="150">
        <v>72</v>
      </c>
      <c r="B77" s="150" t="s">
        <v>278</v>
      </c>
      <c r="C77" s="154" t="str">
        <f>数据对照表!I2</f>
        <v>利息支出</v>
      </c>
      <c r="D77" s="163" t="s">
        <v>280</v>
      </c>
      <c r="E77" s="152">
        <f>IF(D77="计算扣除",0,SUMIFS('附表7-扣除项目明细采集底稿'!W:W,'附表7-扣除项目明细采集底稿'!E:E,数据对照表!I2,'附表7-扣除项目明细采集底稿'!V:V,"直接归集成本费用"))</f>
        <v>0</v>
      </c>
      <c r="F77" s="152">
        <f>IF(D77="计算扣除",0,SUMIFS('附表7-扣除项目明细采集底稿'!X:X,'附表7-扣除项目明细采集底稿'!E:E,数据对照表!I2,'附表7-扣除项目明细采集底稿'!V:V,"直接归集成本费用"))</f>
        <v>0</v>
      </c>
      <c r="G77" s="152">
        <f>IF(D77="计算扣除",0,SUMIFS('附表7-扣除项目明细采集底稿'!Y:Y,'附表7-扣除项目明细采集底稿'!E:E,数据对照表!I2,'附表7-扣除项目明细采集底稿'!V:V,"直接归集成本费用"))</f>
        <v>0</v>
      </c>
      <c r="H77" s="153">
        <f t="shared" si="15"/>
        <v>0</v>
      </c>
      <c r="I77" s="152">
        <f>IF(D77="计算扣除",0,SUMIFS('附表7-扣除项目明细采集底稿'!W:W,'附表7-扣除项目明细采集底稿'!E:E,数据对照表!I2,'附表7-扣除项目明细采集底稿'!V:V,"共同成本费用"))</f>
        <v>0</v>
      </c>
      <c r="J77" s="152">
        <f>IF(D77="计算扣除",0,SUMIFS('附表7-扣除项目明细采集底稿'!X:X,'附表7-扣除项目明细采集底稿'!E:E,数据对照表!I2,'附表7-扣除项目明细采集底稿'!V:V,"共同成本费用"))</f>
        <v>0</v>
      </c>
      <c r="K77" s="152">
        <f>IF(D77="计算扣除",0,SUMIFS('附表7-扣除项目明细采集底稿'!Y:Y,'附表7-扣除项目明细采集底稿'!E:E,数据对照表!I2,'附表7-扣除项目明细采集底稿'!V:V,"共同成本费用"))</f>
        <v>0</v>
      </c>
      <c r="L77" s="153">
        <f t="shared" si="13"/>
        <v>0</v>
      </c>
      <c r="M77" s="153">
        <f t="shared" si="16"/>
        <v>0</v>
      </c>
    </row>
    <row r="78" s="134" customFormat="1" ht="24" customHeight="1" spans="1:13">
      <c r="A78" s="150">
        <v>73</v>
      </c>
      <c r="B78" s="150"/>
      <c r="C78" s="154" t="s">
        <v>281</v>
      </c>
      <c r="D78" s="154"/>
      <c r="E78" s="152">
        <f>IF($D$77="计算扣除",((E6-E10)+(E11-E75))*10%,((E6-E10)+(E11-E75))*5%)</f>
        <v>0</v>
      </c>
      <c r="F78" s="152">
        <f>IF($D$77="计算扣除",((F6-F10)+(F11-F75))*10%,((F6-F10)+(F11-F75))*5%)</f>
        <v>0</v>
      </c>
      <c r="G78" s="152">
        <f>IF($D$77="计算扣除",((G6-G10)+(G11-G75))*10%,((G6-G10)+(G11-G75))*5%)</f>
        <v>0</v>
      </c>
      <c r="H78" s="153">
        <f t="shared" si="15"/>
        <v>0</v>
      </c>
      <c r="I78" s="152">
        <f>IF($D$77="计算扣除",((I6-I10)+(I11-I75))*10%,((I6-I10)+(I11-I75))*5%)</f>
        <v>0</v>
      </c>
      <c r="J78" s="152">
        <f>IF($D$77="计算扣除",((J6-J10)+(J11-J75))*10%,((J6-J10)+(J11-J75))*5%)</f>
        <v>0</v>
      </c>
      <c r="K78" s="152">
        <f>IF($D$77="计算扣除",((K6-K10)+(K11-K75))*10%,((K6-K10)+(K11-K75))*5%)</f>
        <v>0</v>
      </c>
      <c r="L78" s="153">
        <f t="shared" si="13"/>
        <v>0</v>
      </c>
      <c r="M78" s="153">
        <f t="shared" si="16"/>
        <v>0</v>
      </c>
    </row>
    <row r="79" s="134" customFormat="1" ht="24" customHeight="1" spans="1:13">
      <c r="A79" s="150">
        <v>74</v>
      </c>
      <c r="B79" s="154" t="s">
        <v>282</v>
      </c>
      <c r="C79" s="154"/>
      <c r="D79" s="154"/>
      <c r="E79" s="152">
        <f>SUM(E80:E84)</f>
        <v>0</v>
      </c>
      <c r="F79" s="152">
        <f>SUM(F80:F84)</f>
        <v>0</v>
      </c>
      <c r="G79" s="152">
        <f>SUM(G80:G84)</f>
        <v>0</v>
      </c>
      <c r="H79" s="153">
        <f t="shared" si="15"/>
        <v>0</v>
      </c>
      <c r="I79" s="165"/>
      <c r="J79" s="165"/>
      <c r="K79" s="165"/>
      <c r="L79" s="165"/>
      <c r="M79" s="153">
        <f t="shared" si="16"/>
        <v>0</v>
      </c>
    </row>
    <row r="80" s="134" customFormat="1" ht="24" customHeight="1" spans="1:13">
      <c r="A80" s="150">
        <v>75</v>
      </c>
      <c r="B80" s="150" t="s">
        <v>278</v>
      </c>
      <c r="C80" s="154" t="s">
        <v>283</v>
      </c>
      <c r="D80" s="154"/>
      <c r="E80" s="164" t="s">
        <v>192</v>
      </c>
      <c r="F80" s="164" t="s">
        <v>192</v>
      </c>
      <c r="G80" s="164" t="s">
        <v>192</v>
      </c>
      <c r="H80" s="153">
        <f t="shared" si="15"/>
        <v>0</v>
      </c>
      <c r="I80" s="165"/>
      <c r="J80" s="165"/>
      <c r="K80" s="165"/>
      <c r="L80" s="165"/>
      <c r="M80" s="153">
        <f t="shared" si="16"/>
        <v>0</v>
      </c>
    </row>
    <row r="81" s="134" customFormat="1" ht="24" customHeight="1" spans="1:13">
      <c r="A81" s="150">
        <v>76</v>
      </c>
      <c r="B81" s="150"/>
      <c r="C81" s="154" t="s">
        <v>284</v>
      </c>
      <c r="D81" s="154"/>
      <c r="E81" s="164" t="s">
        <v>192</v>
      </c>
      <c r="F81" s="164" t="s">
        <v>192</v>
      </c>
      <c r="G81" s="164" t="s">
        <v>192</v>
      </c>
      <c r="H81" s="153">
        <f t="shared" si="15"/>
        <v>0</v>
      </c>
      <c r="I81" s="165"/>
      <c r="J81" s="165"/>
      <c r="K81" s="165"/>
      <c r="L81" s="165"/>
      <c r="M81" s="153">
        <f t="shared" si="16"/>
        <v>0</v>
      </c>
    </row>
    <row r="82" s="134" customFormat="1" ht="24" customHeight="1" spans="1:13">
      <c r="A82" s="150">
        <v>77</v>
      </c>
      <c r="B82" s="150"/>
      <c r="C82" s="154" t="s">
        <v>285</v>
      </c>
      <c r="D82" s="154"/>
      <c r="E82" s="164" t="s">
        <v>192</v>
      </c>
      <c r="F82" s="164" t="s">
        <v>192</v>
      </c>
      <c r="G82" s="164" t="s">
        <v>192</v>
      </c>
      <c r="H82" s="153">
        <f t="shared" si="15"/>
        <v>0</v>
      </c>
      <c r="I82" s="165"/>
      <c r="J82" s="165"/>
      <c r="K82" s="165"/>
      <c r="L82" s="165"/>
      <c r="M82" s="153">
        <f t="shared" si="16"/>
        <v>0</v>
      </c>
    </row>
    <row r="83" s="134" customFormat="1" ht="24" customHeight="1" spans="1:13">
      <c r="A83" s="150">
        <v>78</v>
      </c>
      <c r="B83" s="150"/>
      <c r="C83" s="154" t="s">
        <v>286</v>
      </c>
      <c r="D83" s="154"/>
      <c r="E83" s="164" t="s">
        <v>192</v>
      </c>
      <c r="F83" s="164" t="s">
        <v>192</v>
      </c>
      <c r="G83" s="164" t="s">
        <v>192</v>
      </c>
      <c r="H83" s="153">
        <f t="shared" si="15"/>
        <v>0</v>
      </c>
      <c r="I83" s="165"/>
      <c r="J83" s="165"/>
      <c r="K83" s="165"/>
      <c r="L83" s="165"/>
      <c r="M83" s="153">
        <f t="shared" si="16"/>
        <v>0</v>
      </c>
    </row>
    <row r="84" s="134" customFormat="1" ht="24" customHeight="1" spans="1:13">
      <c r="A84" s="150">
        <v>79</v>
      </c>
      <c r="B84" s="150"/>
      <c r="C84" s="154" t="s">
        <v>287</v>
      </c>
      <c r="D84" s="154"/>
      <c r="E84" s="164" t="s">
        <v>192</v>
      </c>
      <c r="F84" s="164" t="s">
        <v>192</v>
      </c>
      <c r="G84" s="164" t="s">
        <v>192</v>
      </c>
      <c r="H84" s="153">
        <f t="shared" si="15"/>
        <v>0</v>
      </c>
      <c r="I84" s="165"/>
      <c r="J84" s="165"/>
      <c r="K84" s="165"/>
      <c r="L84" s="165"/>
      <c r="M84" s="153">
        <f t="shared" si="16"/>
        <v>0</v>
      </c>
    </row>
    <row r="85" s="134" customFormat="1" ht="24" customHeight="1" spans="1:13">
      <c r="A85" s="150">
        <v>80</v>
      </c>
      <c r="B85" s="154" t="s">
        <v>288</v>
      </c>
      <c r="C85" s="154"/>
      <c r="D85" s="154"/>
      <c r="E85" s="152">
        <f t="shared" ref="E85:K85" si="17">ROUND(((E6-E10)+(E11-E75))*20%,2)</f>
        <v>0</v>
      </c>
      <c r="F85" s="152">
        <f t="shared" si="17"/>
        <v>0</v>
      </c>
      <c r="G85" s="152">
        <f t="shared" si="17"/>
        <v>0</v>
      </c>
      <c r="H85" s="153">
        <f t="shared" si="15"/>
        <v>0</v>
      </c>
      <c r="I85" s="152">
        <f t="shared" si="17"/>
        <v>0</v>
      </c>
      <c r="J85" s="152">
        <f t="shared" si="17"/>
        <v>0</v>
      </c>
      <c r="K85" s="152">
        <f t="shared" si="17"/>
        <v>0</v>
      </c>
      <c r="L85" s="153">
        <f t="shared" ref="L85:L87" si="18">SUM(I85:K85)</f>
        <v>0</v>
      </c>
      <c r="M85" s="153">
        <f t="shared" si="16"/>
        <v>0</v>
      </c>
    </row>
    <row r="86" s="134" customFormat="1" ht="24" customHeight="1" spans="1:13">
      <c r="A86" s="150">
        <v>81</v>
      </c>
      <c r="B86" s="154" t="s">
        <v>289</v>
      </c>
      <c r="C86" s="154"/>
      <c r="D86" s="154"/>
      <c r="E86" s="164" t="s">
        <v>192</v>
      </c>
      <c r="F86" s="164" t="s">
        <v>192</v>
      </c>
      <c r="G86" s="164" t="s">
        <v>192</v>
      </c>
      <c r="H86" s="153">
        <f t="shared" si="15"/>
        <v>0</v>
      </c>
      <c r="I86" s="164" t="s">
        <v>192</v>
      </c>
      <c r="J86" s="164" t="s">
        <v>192</v>
      </c>
      <c r="K86" s="164" t="s">
        <v>192</v>
      </c>
      <c r="L86" s="153">
        <f t="shared" si="18"/>
        <v>0</v>
      </c>
      <c r="M86" s="153">
        <f t="shared" si="16"/>
        <v>0</v>
      </c>
    </row>
    <row r="87" s="134" customFormat="1" ht="24" customHeight="1" spans="1:13">
      <c r="A87" s="150">
        <v>82</v>
      </c>
      <c r="B87" s="154" t="s">
        <v>110</v>
      </c>
      <c r="C87" s="154"/>
      <c r="D87" s="154"/>
      <c r="E87" s="152">
        <f>E6+E11+E76+E79+E85+SUM(E86)</f>
        <v>0</v>
      </c>
      <c r="F87" s="152">
        <f>F6+F11+F76+F79+F85+SUM(F86)</f>
        <v>0</v>
      </c>
      <c r="G87" s="152">
        <f>G6+G11+G76+G79+G85+SUM(G86)</f>
        <v>0</v>
      </c>
      <c r="H87" s="153">
        <f t="shared" si="15"/>
        <v>0</v>
      </c>
      <c r="I87" s="152">
        <f>I6+I11+I76+I79+I85+SUM(I86)</f>
        <v>0</v>
      </c>
      <c r="J87" s="152">
        <f>J6+J11+J76+J79+J85+SUM(J86)</f>
        <v>0</v>
      </c>
      <c r="K87" s="152">
        <f>K6+K11+K76+K79+K85+SUM(K86)</f>
        <v>0</v>
      </c>
      <c r="L87" s="153">
        <f t="shared" si="18"/>
        <v>0</v>
      </c>
      <c r="M87" s="153">
        <f t="shared" si="16"/>
        <v>0</v>
      </c>
    </row>
  </sheetData>
  <sheetProtection sheet="1" formatCells="0" formatColumns="0" formatRows="0" autoFilter="0" pivotTables="0" objects="1"/>
  <mergeCells count="41">
    <mergeCell ref="A1:M1"/>
    <mergeCell ref="A2:M2"/>
    <mergeCell ref="E3:H3"/>
    <mergeCell ref="I3:L3"/>
    <mergeCell ref="B6:D6"/>
    <mergeCell ref="C7:D7"/>
    <mergeCell ref="C8:D8"/>
    <mergeCell ref="C9:D9"/>
    <mergeCell ref="B10:D10"/>
    <mergeCell ref="B11:D11"/>
    <mergeCell ref="C12:D12"/>
    <mergeCell ref="C19:D19"/>
    <mergeCell ref="C29:D29"/>
    <mergeCell ref="C36:D36"/>
    <mergeCell ref="C48:D48"/>
    <mergeCell ref="C65:D65"/>
    <mergeCell ref="B75:D75"/>
    <mergeCell ref="B76:D76"/>
    <mergeCell ref="C78:D78"/>
    <mergeCell ref="B79:D79"/>
    <mergeCell ref="C80:D80"/>
    <mergeCell ref="C81:D81"/>
    <mergeCell ref="C82:D82"/>
    <mergeCell ref="C83:D83"/>
    <mergeCell ref="C84:D84"/>
    <mergeCell ref="B85:D85"/>
    <mergeCell ref="B86:D86"/>
    <mergeCell ref="B87:D87"/>
    <mergeCell ref="A3:A5"/>
    <mergeCell ref="B7:B9"/>
    <mergeCell ref="B12:B74"/>
    <mergeCell ref="B77:B78"/>
    <mergeCell ref="B80:B84"/>
    <mergeCell ref="C13:C18"/>
    <mergeCell ref="C20:C28"/>
    <mergeCell ref="C30:C35"/>
    <mergeCell ref="C37:C47"/>
    <mergeCell ref="C49:C64"/>
    <mergeCell ref="C66:C74"/>
    <mergeCell ref="M3:M4"/>
    <mergeCell ref="B3:D5"/>
  </mergeCells>
  <dataValidations count="2">
    <dataValidation allowBlank="1" showInputMessage="1" showErrorMessage="1" sqref="C77"/>
    <dataValidation type="list" allowBlank="1" showInputMessage="1" showErrorMessage="1" sqref="D77">
      <formula1>"据实扣除, 计算扣除"</formula1>
    </dataValidation>
  </dataValidations>
  <printOptions horizontalCentered="1"/>
  <pageMargins left="0.707638888888889" right="0.707638888888889" top="0.747916666666667" bottom="0.747916666666667" header="0.313888888888889" footer="0.313888888888889"/>
  <pageSetup paperSize="9" scale="61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中华人民共和国土地增值税申报附表</vt:lpstr>
      <vt:lpstr>目录</vt:lpstr>
      <vt:lpstr>清算项目基本情况表</vt:lpstr>
      <vt:lpstr>土地增值税税源明细表</vt:lpstr>
      <vt:lpstr>附表1-面积统计表</vt:lpstr>
      <vt:lpstr>附表2-收入统计表</vt:lpstr>
      <vt:lpstr>附表3-扣除项目分摊表</vt:lpstr>
      <vt:lpstr>附表4-项目间分摊信息采集表</vt:lpstr>
      <vt:lpstr>附表5-扣除项目统计表</vt:lpstr>
      <vt:lpstr>附表6-收入明细采集底稿</vt:lpstr>
      <vt:lpstr>附表7-扣除项目明细采集底稿</vt:lpstr>
      <vt:lpstr>附表8-合同明细采集底稿</vt:lpstr>
      <vt:lpstr>工程造价采集表</vt:lpstr>
      <vt:lpstr>数据对照表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吴玲玲</cp:lastModifiedBy>
  <dcterms:created xsi:type="dcterms:W3CDTF">2016-12-20T08:54:00Z</dcterms:created>
  <cp:lastPrinted>2021-07-12T21:57:00Z</cp:lastPrinted>
  <dcterms:modified xsi:type="dcterms:W3CDTF">2024-04-03T00:56:59Z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ICV">
    <vt:lpwstr>93088FDB820851F41D404B65B73DF86E_43</vt:lpwstr>
  </property>
  <property fmtid="{D5CDD505-2E9C-101B-9397-08002B2CF9AE}" pid="4" name="KSOReadingLayout">
    <vt:bool>true</vt:bool>
  </property>
</Properties>
</file>